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G_Vollkostenrechnung\Vor- und Nachkalkulation\Kalkulationsschema\2023\"/>
    </mc:Choice>
  </mc:AlternateContent>
  <workbookProtection workbookAlgorithmName="SHA-512" workbookHashValue="KYTglscCxB5xydHxXyYI0b3dXumjhhsQ4yPndMmXD+1lskjBg07oUAbNS6gUNMmWVkpg+5n5bMV2AVMfZ/goSA==" workbookSaltValue="j9jgjH6ATgUiAv/UT7rlsA==" workbookSpinCount="100000" lockStructure="1"/>
  <bookViews>
    <workbookView xWindow="0" yWindow="0" windowWidth="28800" windowHeight="12300"/>
  </bookViews>
  <sheets>
    <sheet name="Vorkalkulation_% GKZ" sheetId="1" r:id="rId1"/>
    <sheet name="Großgeräte (DFG)" sheetId="2" r:id="rId2"/>
    <sheet name="Investitionen" sheetId="3" r:id="rId3"/>
    <sheet name="Stundensaetze PersonalUni" sheetId="4" state="hidden" r:id="rId4"/>
    <sheet name="Flächenberechnung VK" sheetId="5" state="hidden" r:id="rId5"/>
    <sheet name="HIS-Ersteinrichtkost" sheetId="6" state="hidden" r:id="rId6"/>
    <sheet name="Mieten nach Campusber." sheetId="7" state="hidden" r:id="rId7"/>
    <sheet name="Hilfstabelle" sheetId="8" state="hidden" r:id="rId8"/>
  </sheets>
  <definedNames>
    <definedName name="Cluster">'Stundensaetze PersonalUni'!$J$2:$J$4</definedName>
    <definedName name="_xlnm.Print_Area" localSheetId="1">'Großgeräte (DFG)'!$A$1:$Q$96</definedName>
    <definedName name="_xlnm.Print_Area" localSheetId="5">'HIS-Ersteinrichtkost'!$A$1:$G$52</definedName>
    <definedName name="_xlnm.Print_Area" localSheetId="2">Investitionen!$A$1:$K$68</definedName>
    <definedName name="_xlnm.Print_Area" localSheetId="0">'Vorkalkulation_% GKZ'!$A$1:$Q$115</definedName>
    <definedName name="Entgeltgruppe">'Stundensaetze PersonalUni'!$A$3:$A$37</definedName>
    <definedName name="EntgeltgruppeAlle">'Stundensaetze PersonalUni'!$A$3:$A$39</definedName>
    <definedName name="EntgeltgruppeHiWi">'Stundensaetze PersonalUni'!$A$3:$A$37</definedName>
    <definedName name="Gewinnzuschlag">'Stundensaetze PersonalUni'!$G$2:$G$4</definedName>
    <definedName name="HiWi">'Stundensaetze PersonalUni'!#REF!</definedName>
    <definedName name="Jahr">'Stundensaetze PersonalUni'!$G$9:$G$26</definedName>
    <definedName name="Monat">'Stundensaetze PersonalUni'!$F$9:$F$20</definedName>
    <definedName name="Stellenanteil">'Stundensaetze PersonalUni'!$J$11:$J$18</definedName>
    <definedName name="Tag">'Stundensaetze PersonalUni'!$E$9:$E$39</definedName>
    <definedName name="Test">'Stundensaetze PersonalUni'!$E$2:$E$3</definedName>
    <definedName name="Umsatzsteuer">'Stundensaetze PersonalUni'!$H$2:$H$4</definedName>
    <definedName name="Vergütung">'Stundensaetze PersonalUni'!$A$3:$A$36</definedName>
    <definedName name="Zuschlag">'Stundensaetze PersonalUni'!$J$2:$K$4</definedName>
    <definedName name="Zuschlagssatz">'Stundensaetze PersonalUni'!$K$2:$K$4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" l="1"/>
  <c r="O54" i="1"/>
  <c r="O52" i="1"/>
  <c r="P53" i="1"/>
  <c r="P54" i="1"/>
  <c r="G7" i="2" l="1"/>
  <c r="G5" i="2"/>
  <c r="M10" i="8" l="1"/>
  <c r="M9" i="8"/>
  <c r="M8" i="8"/>
  <c r="M7" i="8"/>
  <c r="M6" i="8"/>
  <c r="M5" i="8"/>
  <c r="F5" i="7"/>
  <c r="G5" i="7" s="1"/>
  <c r="K24" i="4" s="1"/>
  <c r="R55" i="5" s="1"/>
  <c r="E5" i="7"/>
  <c r="D5" i="7"/>
  <c r="F4" i="7"/>
  <c r="G4" i="7" s="1"/>
  <c r="K23" i="4" s="1"/>
  <c r="R54" i="5" s="1"/>
  <c r="E4" i="7"/>
  <c r="D4" i="7"/>
  <c r="F3" i="7"/>
  <c r="G3" i="7" s="1"/>
  <c r="K22" i="4" s="1"/>
  <c r="R53" i="5" s="1"/>
  <c r="E3" i="7"/>
  <c r="D3" i="7"/>
  <c r="G45" i="6"/>
  <c r="G47" i="6" s="1"/>
  <c r="B49" i="6" s="1"/>
  <c r="G44" i="6"/>
  <c r="G43" i="6"/>
  <c r="G42" i="6"/>
  <c r="G41" i="6"/>
  <c r="E34" i="6"/>
  <c r="G34" i="6" s="1"/>
  <c r="G33" i="6"/>
  <c r="E33" i="6"/>
  <c r="E30" i="6"/>
  <c r="G30" i="6" s="1"/>
  <c r="G29" i="6"/>
  <c r="E29" i="6"/>
  <c r="E28" i="6"/>
  <c r="G28" i="6" s="1"/>
  <c r="E27" i="6"/>
  <c r="D26" i="6"/>
  <c r="D31" i="6" s="1"/>
  <c r="D36" i="6" s="1"/>
  <c r="C26" i="6"/>
  <c r="C31" i="6" s="1"/>
  <c r="D19" i="6"/>
  <c r="G12" i="6"/>
  <c r="G10" i="6"/>
  <c r="G9" i="6"/>
  <c r="G14" i="6" s="1"/>
  <c r="G22" i="6" s="1"/>
  <c r="B51" i="6" s="1"/>
  <c r="D8" i="6"/>
  <c r="G6" i="6"/>
  <c r="G5" i="6"/>
  <c r="D4" i="6"/>
  <c r="D20" i="6" s="1"/>
  <c r="N33" i="5"/>
  <c r="L33" i="5"/>
  <c r="K33" i="5"/>
  <c r="U32" i="5"/>
  <c r="T32" i="5"/>
  <c r="S32" i="5" s="1"/>
  <c r="K32" i="5"/>
  <c r="U31" i="5"/>
  <c r="T31" i="5"/>
  <c r="S31" i="5" s="1"/>
  <c r="U30" i="5"/>
  <c r="T30" i="5"/>
  <c r="S30" i="5" s="1"/>
  <c r="G30" i="5"/>
  <c r="G35" i="5" s="1"/>
  <c r="D30" i="5"/>
  <c r="U29" i="5"/>
  <c r="T29" i="5"/>
  <c r="S29" i="5" s="1"/>
  <c r="U28" i="5"/>
  <c r="T28" i="5"/>
  <c r="S28" i="5" s="1"/>
  <c r="S36" i="5" s="1"/>
  <c r="I28" i="5"/>
  <c r="D27" i="5"/>
  <c r="G27" i="5" s="1"/>
  <c r="L27" i="5" s="1"/>
  <c r="N27" i="5" s="1"/>
  <c r="D26" i="5"/>
  <c r="K26" i="5" s="1"/>
  <c r="D25" i="5"/>
  <c r="G25" i="5" s="1"/>
  <c r="U24" i="5"/>
  <c r="T24" i="5"/>
  <c r="S24" i="5" s="1"/>
  <c r="N24" i="5"/>
  <c r="L24" i="5"/>
  <c r="U23" i="5"/>
  <c r="T23" i="5"/>
  <c r="S23" i="5" s="1"/>
  <c r="K23" i="5"/>
  <c r="G22" i="5"/>
  <c r="L22" i="5" s="1"/>
  <c r="N22" i="5" s="1"/>
  <c r="G21" i="5"/>
  <c r="G23" i="5" s="1"/>
  <c r="U20" i="5"/>
  <c r="W20" i="5" s="1"/>
  <c r="T20" i="5"/>
  <c r="S20" i="5" s="1"/>
  <c r="U19" i="5"/>
  <c r="W19" i="5" s="1"/>
  <c r="T19" i="5"/>
  <c r="S19" i="5" s="1"/>
  <c r="K19" i="5"/>
  <c r="I19" i="5"/>
  <c r="U18" i="5"/>
  <c r="W18" i="5" s="1"/>
  <c r="T18" i="5"/>
  <c r="G18" i="5"/>
  <c r="L18" i="5" s="1"/>
  <c r="N18" i="5" s="1"/>
  <c r="N17" i="5"/>
  <c r="X29" i="5" s="1"/>
  <c r="L17" i="5"/>
  <c r="G17" i="5"/>
  <c r="L16" i="5"/>
  <c r="L19" i="5" s="1"/>
  <c r="G16" i="5"/>
  <c r="G19" i="5" s="1"/>
  <c r="C5" i="5"/>
  <c r="I39" i="5" s="1"/>
  <c r="Q39" i="4"/>
  <c r="B39" i="4"/>
  <c r="Q38" i="4"/>
  <c r="B38" i="4"/>
  <c r="Q37" i="4"/>
  <c r="B37" i="4"/>
  <c r="Q36" i="4"/>
  <c r="B36" i="4"/>
  <c r="Q35" i="4"/>
  <c r="B35" i="4"/>
  <c r="Q34" i="4"/>
  <c r="B34" i="4"/>
  <c r="Q33" i="4"/>
  <c r="B33" i="4"/>
  <c r="Q32" i="4"/>
  <c r="B32" i="4"/>
  <c r="Q31" i="4"/>
  <c r="B31" i="4"/>
  <c r="Q30" i="4"/>
  <c r="B30" i="4"/>
  <c r="Q29" i="4"/>
  <c r="B29" i="4"/>
  <c r="Q28" i="4"/>
  <c r="B28" i="4"/>
  <c r="Q27" i="4"/>
  <c r="B27" i="4"/>
  <c r="Q26" i="4"/>
  <c r="B26" i="4"/>
  <c r="Q25" i="4"/>
  <c r="B25" i="4"/>
  <c r="Q24" i="4"/>
  <c r="B24" i="4"/>
  <c r="Q23" i="4"/>
  <c r="B23" i="4"/>
  <c r="Q22" i="4"/>
  <c r="B22" i="4"/>
  <c r="Q21" i="4"/>
  <c r="B21" i="4"/>
  <c r="Q20" i="4"/>
  <c r="B20" i="4"/>
  <c r="Q19" i="4"/>
  <c r="B19" i="4"/>
  <c r="Q18" i="4"/>
  <c r="B18" i="4"/>
  <c r="Q17" i="4"/>
  <c r="B17" i="4"/>
  <c r="Q16" i="4"/>
  <c r="B16" i="4"/>
  <c r="Q15" i="4"/>
  <c r="B15" i="4"/>
  <c r="Q14" i="4"/>
  <c r="B14" i="4"/>
  <c r="Q13" i="4"/>
  <c r="B13" i="4"/>
  <c r="Q12" i="4"/>
  <c r="B12" i="4"/>
  <c r="Q11" i="4"/>
  <c r="B11" i="4"/>
  <c r="Q10" i="4"/>
  <c r="B10" i="4"/>
  <c r="Q9" i="4"/>
  <c r="B9" i="4"/>
  <c r="Q8" i="4"/>
  <c r="B8" i="4"/>
  <c r="Q7" i="4"/>
  <c r="B7" i="4"/>
  <c r="Q6" i="4"/>
  <c r="B6" i="4"/>
  <c r="Q5" i="4"/>
  <c r="B5" i="4"/>
  <c r="Q4" i="4"/>
  <c r="B4" i="4"/>
  <c r="Q3" i="4"/>
  <c r="B3" i="4"/>
  <c r="Q2" i="4"/>
  <c r="B2" i="4"/>
  <c r="I40" i="3"/>
  <c r="I37" i="3"/>
  <c r="G37" i="3"/>
  <c r="G35" i="3"/>
  <c r="I30" i="3"/>
  <c r="G30" i="3"/>
  <c r="G28" i="3"/>
  <c r="F8" i="3"/>
  <c r="F6" i="3"/>
  <c r="M84" i="2"/>
  <c r="N84" i="2" s="1"/>
  <c r="N83" i="2"/>
  <c r="M83" i="2"/>
  <c r="M82" i="2"/>
  <c r="N82" i="2" s="1"/>
  <c r="P71" i="2"/>
  <c r="M71" i="2"/>
  <c r="P70" i="2"/>
  <c r="M70" i="2"/>
  <c r="P69" i="2"/>
  <c r="M69" i="2"/>
  <c r="P68" i="2"/>
  <c r="M68" i="2"/>
  <c r="P67" i="2"/>
  <c r="M67" i="2"/>
  <c r="P66" i="2"/>
  <c r="M66" i="2"/>
  <c r="P65" i="2"/>
  <c r="M65" i="2"/>
  <c r="P64" i="2"/>
  <c r="M64" i="2"/>
  <c r="P63" i="2"/>
  <c r="M63" i="2"/>
  <c r="P62" i="2"/>
  <c r="M62" i="2"/>
  <c r="P61" i="2"/>
  <c r="M61" i="2"/>
  <c r="P60" i="2"/>
  <c r="M60" i="2"/>
  <c r="P59" i="2"/>
  <c r="M59" i="2"/>
  <c r="P58" i="2"/>
  <c r="P74" i="2" s="1"/>
  <c r="I99" i="1" s="1"/>
  <c r="M58" i="2"/>
  <c r="P57" i="2"/>
  <c r="M57" i="2"/>
  <c r="G43" i="2"/>
  <c r="M35" i="2"/>
  <c r="H32" i="2"/>
  <c r="K29" i="2"/>
  <c r="K27" i="2"/>
  <c r="K25" i="2"/>
  <c r="K23" i="2"/>
  <c r="K21" i="2"/>
  <c r="M18" i="2"/>
  <c r="U12" i="2"/>
  <c r="G12" i="2"/>
  <c r="O10" i="2"/>
  <c r="V9" i="2" s="1"/>
  <c r="N10" i="2"/>
  <c r="M10" i="2"/>
  <c r="J10" i="2"/>
  <c r="V10" i="2" s="1"/>
  <c r="I10" i="2"/>
  <c r="H10" i="2"/>
  <c r="P7" i="2"/>
  <c r="P5" i="2"/>
  <c r="K105" i="1"/>
  <c r="K101" i="1"/>
  <c r="F94" i="1"/>
  <c r="N79" i="1"/>
  <c r="M79" i="1"/>
  <c r="N78" i="1"/>
  <c r="M78" i="1"/>
  <c r="N77" i="1"/>
  <c r="N81" i="1" s="1"/>
  <c r="I90" i="1" s="1"/>
  <c r="M77" i="1"/>
  <c r="N66" i="1"/>
  <c r="J66" i="1"/>
  <c r="P66" i="1" s="1"/>
  <c r="N65" i="1"/>
  <c r="J65" i="1"/>
  <c r="P65" i="1" s="1"/>
  <c r="N64" i="1"/>
  <c r="J64" i="1"/>
  <c r="P64" i="1" s="1"/>
  <c r="N63" i="1"/>
  <c r="P63" i="1" s="1"/>
  <c r="J63" i="1"/>
  <c r="N62" i="1"/>
  <c r="J62" i="1"/>
  <c r="P62" i="1" s="1"/>
  <c r="P57" i="1"/>
  <c r="N57" i="1"/>
  <c r="J57" i="1"/>
  <c r="N56" i="1"/>
  <c r="J56" i="1"/>
  <c r="P56" i="1" s="1"/>
  <c r="M54" i="1"/>
  <c r="M53" i="1"/>
  <c r="G45" i="1"/>
  <c r="I88" i="1" s="1"/>
  <c r="G42" i="1"/>
  <c r="M37" i="1"/>
  <c r="H34" i="1"/>
  <c r="I87" i="1" s="1"/>
  <c r="K31" i="1"/>
  <c r="K29" i="1"/>
  <c r="K27" i="1"/>
  <c r="K25" i="1"/>
  <c r="K23" i="1"/>
  <c r="K21" i="1"/>
  <c r="M18" i="1"/>
  <c r="V10" i="1"/>
  <c r="U10" i="1"/>
  <c r="U12" i="1" s="1"/>
  <c r="V9" i="1"/>
  <c r="V12" i="1" s="1"/>
  <c r="U9" i="1"/>
  <c r="V29" i="5" l="1"/>
  <c r="W29" i="5" s="1"/>
  <c r="S18" i="5"/>
  <c r="S37" i="5" s="1"/>
  <c r="Y18" i="5"/>
  <c r="V28" i="5"/>
  <c r="W28" i="5" s="1"/>
  <c r="W36" i="5" s="1"/>
  <c r="Y36" i="5" s="1"/>
  <c r="V24" i="5"/>
  <c r="W24" i="5" s="1"/>
  <c r="V23" i="5"/>
  <c r="W23" i="5" s="1"/>
  <c r="C8" i="5"/>
  <c r="V31" i="5"/>
  <c r="W31" i="5" s="1"/>
  <c r="W44" i="5"/>
  <c r="Y44" i="5" s="1"/>
  <c r="Y29" i="5"/>
  <c r="H21" i="5"/>
  <c r="I21" i="5" s="1"/>
  <c r="I23" i="5" s="1"/>
  <c r="I31" i="5" s="1"/>
  <c r="P67" i="1"/>
  <c r="V12" i="2"/>
  <c r="T12" i="2" s="1"/>
  <c r="S35" i="5"/>
  <c r="K28" i="5"/>
  <c r="L26" i="5"/>
  <c r="N26" i="5" s="1"/>
  <c r="K35" i="5"/>
  <c r="K37" i="5" s="1"/>
  <c r="C36" i="6"/>
  <c r="E31" i="6"/>
  <c r="G37" i="5"/>
  <c r="X24" i="5"/>
  <c r="Y24" i="5" s="1"/>
  <c r="X23" i="5"/>
  <c r="Y23" i="5" s="1"/>
  <c r="N86" i="2"/>
  <c r="X31" i="5"/>
  <c r="X32" i="5"/>
  <c r="L25" i="5"/>
  <c r="N25" i="5" s="1"/>
  <c r="N28" i="5" s="1"/>
  <c r="G28" i="5"/>
  <c r="L28" i="5" s="1"/>
  <c r="T12" i="1"/>
  <c r="X30" i="5"/>
  <c r="N16" i="5"/>
  <c r="L30" i="5"/>
  <c r="L32" i="5"/>
  <c r="N32" i="5" s="1"/>
  <c r="I40" i="5"/>
  <c r="E26" i="6"/>
  <c r="G26" i="6" s="1"/>
  <c r="G31" i="6" s="1"/>
  <c r="G37" i="6" s="1"/>
  <c r="B50" i="6" s="1"/>
  <c r="F98" i="1" s="1"/>
  <c r="C11" i="5"/>
  <c r="V30" i="5"/>
  <c r="W30" i="5" s="1"/>
  <c r="V32" i="5"/>
  <c r="W32" i="5" s="1"/>
  <c r="K34" i="5"/>
  <c r="L34" i="5" s="1"/>
  <c r="N34" i="5" s="1"/>
  <c r="Y31" i="5" l="1"/>
  <c r="U36" i="5"/>
  <c r="T37" i="5"/>
  <c r="T35" i="5"/>
  <c r="G9" i="5"/>
  <c r="L23" i="5"/>
  <c r="N21" i="5"/>
  <c r="X19" i="5" s="1"/>
  <c r="Y19" i="5" s="1"/>
  <c r="L21" i="5"/>
  <c r="U35" i="5"/>
  <c r="U37" i="5" s="1"/>
  <c r="X28" i="5"/>
  <c r="Y28" i="5" s="1"/>
  <c r="N19" i="5"/>
  <c r="Y30" i="5"/>
  <c r="K12" i="1"/>
  <c r="W47" i="5"/>
  <c r="X35" i="5"/>
  <c r="N23" i="5"/>
  <c r="X18" i="5"/>
  <c r="N30" i="5"/>
  <c r="X37" i="5"/>
  <c r="L31" i="5"/>
  <c r="N31" i="5" s="1"/>
  <c r="I35" i="5"/>
  <c r="I37" i="5" s="1"/>
  <c r="Y32" i="5"/>
  <c r="X20" i="5" l="1"/>
  <c r="Y20" i="5" s="1"/>
  <c r="Y42" i="5" s="1"/>
  <c r="W35" i="5"/>
  <c r="L35" i="5"/>
  <c r="L37" i="5" s="1"/>
  <c r="N35" i="5"/>
  <c r="N37" i="5" s="1"/>
  <c r="I42" i="5" s="1"/>
  <c r="Y41" i="5"/>
  <c r="Y33" i="5"/>
  <c r="U41" i="5"/>
  <c r="U42" i="5"/>
  <c r="W37" i="5" l="1"/>
  <c r="Y37" i="5" s="1"/>
  <c r="Y35" i="5"/>
  <c r="N39" i="5"/>
  <c r="N40" i="5"/>
  <c r="W42" i="5" l="1"/>
  <c r="W41" i="5"/>
  <c r="Y43" i="5"/>
  <c r="Y45" i="5" s="1"/>
  <c r="I97" i="1" s="1"/>
  <c r="K97" i="1" s="1"/>
  <c r="N42" i="5"/>
  <c r="Y46" i="5" l="1"/>
  <c r="F97" i="1" s="1"/>
  <c r="I98" i="1"/>
  <c r="K98" i="1" s="1"/>
  <c r="M52" i="1"/>
  <c r="P52" i="1" s="1"/>
  <c r="P58" i="1" s="1"/>
  <c r="P69" i="1" s="1"/>
  <c r="I89" i="1" s="1"/>
  <c r="I92" i="1" l="1"/>
  <c r="I94" i="1"/>
  <c r="K94" i="1" s="1"/>
  <c r="I101" i="1" l="1"/>
  <c r="I103" i="1" s="1"/>
  <c r="I105" i="1" s="1"/>
  <c r="I107" i="1" s="1"/>
</calcChain>
</file>

<file path=xl/comments1.xml><?xml version="1.0" encoding="utf-8"?>
<comments xmlns="http://schemas.openxmlformats.org/spreadsheetml/2006/main">
  <authors>
    <author>Oliver Splinter</author>
  </authors>
  <commentList>
    <comment ref="F97" authorId="0" shapeId="0">
      <text>
        <r>
          <rPr>
            <b/>
            <sz val="9"/>
            <color indexed="81"/>
            <rFont val="Tahoma"/>
            <family val="2"/>
          </rPr>
          <t>Oliver Splinter:
Hinweis:</t>
        </r>
        <r>
          <rPr>
            <sz val="9"/>
            <color indexed="81"/>
            <rFont val="Tahoma"/>
            <family val="2"/>
          </rPr>
          <t xml:space="preserve">
Die durchschnittliche Fläche pro Monat ergibt sich aus dem Flächenbedarf für das Projekt laut HIS-Gutachten und der Projektlaufzeit laut Vorkalkulation.</t>
        </r>
      </text>
    </comment>
  </commentList>
</comments>
</file>

<file path=xl/comments2.xml><?xml version="1.0" encoding="utf-8"?>
<comments xmlns="http://schemas.openxmlformats.org/spreadsheetml/2006/main">
  <authors>
    <author>Carola Sann</author>
  </authors>
  <commentList>
    <comment ref="G27" authorId="0" shapeId="0">
      <text>
        <r>
          <rPr>
            <b/>
            <sz val="9"/>
            <color indexed="9"/>
            <rFont val="Tahoma"/>
            <family val="2"/>
          </rPr>
          <t>Hinweis:</t>
        </r>
        <r>
          <rPr>
            <sz val="9"/>
            <color indexed="9"/>
            <rFont val="Tahoma"/>
            <family val="2"/>
          </rPr>
          <t xml:space="preserve">
Bitte hier nur Verbrauchsmaterial eingetragen; keine Geräte!
Geräte sind auf dem Blatt "Investitionen" ein-zutragen. 
</t>
        </r>
      </text>
    </comment>
  </commentList>
</comments>
</file>

<file path=xl/comments3.xml><?xml version="1.0" encoding="utf-8"?>
<comments xmlns="http://schemas.openxmlformats.org/spreadsheetml/2006/main">
  <authors>
    <author>Sevil Bicer-Kont</author>
    <author>Oliver Splinter</author>
    <author>gn1377</author>
  </authors>
  <commentList>
    <comment ref="N21" authorId="0" shapeId="0">
      <text>
        <r>
          <rPr>
            <b/>
            <sz val="9"/>
            <color indexed="81"/>
            <rFont val="Segoe UI"/>
            <family val="2"/>
          </rPr>
          <t>Sevil Bicer-Kont:</t>
        </r>
        <r>
          <rPr>
            <sz val="9"/>
            <color indexed="81"/>
            <rFont val="Segoe UI"/>
            <family val="2"/>
          </rPr>
          <t xml:space="preserve">
theoretische Fläche Faktor 1
Praktische Fläche 
Faktor 1,7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geändert von 9 auf analog Landesmittelpersonal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Bibliothek Einheiten 500 pro Professor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Laborfläche</t>
        </r>
      </text>
    </comment>
    <comment ref="C32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Ausbildungsplätze
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Anzahl Bestand</t>
        </r>
      </text>
    </comment>
    <comment ref="C34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Gesamtfläche</t>
        </r>
      </text>
    </comment>
    <comment ref="X37" authorId="2" shapeId="0">
      <text>
        <r>
          <rPr>
            <b/>
            <sz val="9"/>
            <color indexed="81"/>
            <rFont val="Tahoma"/>
            <family val="2"/>
          </rPr>
          <t>gn1377:</t>
        </r>
        <r>
          <rPr>
            <sz val="9"/>
            <color indexed="81"/>
            <rFont val="Tahoma"/>
            <family val="2"/>
          </rPr>
          <t xml:space="preserve">
Besprechungs- und Sozialfläche 10 m" für 10 Mitarbeiter d. h. 1 qm je Mitarbeiter
</t>
        </r>
      </text>
    </comment>
    <comment ref="R40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Bibliothek Einheiten 500 pro Professor</t>
        </r>
      </text>
    </comment>
    <comment ref="R41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Laborfläche</t>
        </r>
      </text>
    </comment>
    <comment ref="R42" authorId="1" shapeId="0">
      <text>
        <r>
          <rPr>
            <b/>
            <sz val="9"/>
            <color indexed="81"/>
            <rFont val="Tahoma"/>
            <family val="2"/>
          </rPr>
          <t>Oliver Splinter:</t>
        </r>
        <r>
          <rPr>
            <sz val="9"/>
            <color indexed="81"/>
            <rFont val="Tahoma"/>
            <family val="2"/>
          </rPr>
          <t xml:space="preserve">
Gesamtfläche</t>
        </r>
      </text>
    </comment>
  </commentList>
</comments>
</file>

<file path=xl/sharedStrings.xml><?xml version="1.0" encoding="utf-8"?>
<sst xmlns="http://schemas.openxmlformats.org/spreadsheetml/2006/main" count="554" uniqueCount="389">
  <si>
    <t>Vorkalkulation wirtschaftliches Projekt 
für 2023 auf Gesamtkostenbasis</t>
  </si>
  <si>
    <t>I</t>
  </si>
  <si>
    <t>Projektname / Nr.</t>
  </si>
  <si>
    <t>Nr. sofern vorhanden:</t>
  </si>
  <si>
    <t>II</t>
  </si>
  <si>
    <t>Projektleiter / Kostenstelle</t>
  </si>
  <si>
    <t xml:space="preserve">Kostenstelle:  </t>
  </si>
  <si>
    <t>Tag</t>
  </si>
  <si>
    <t>Monat</t>
  </si>
  <si>
    <t>Jahr</t>
  </si>
  <si>
    <t>III</t>
  </si>
  <si>
    <t>Projektzeitraum</t>
  </si>
  <si>
    <t>von</t>
  </si>
  <si>
    <t>Januar</t>
  </si>
  <si>
    <t>bis</t>
  </si>
  <si>
    <t>Dezember</t>
  </si>
  <si>
    <t>IV</t>
  </si>
  <si>
    <t>Cluster</t>
  </si>
  <si>
    <t>Naturwissenschaften</t>
  </si>
  <si>
    <t>Anzahl Monate</t>
  </si>
  <si>
    <t>V</t>
  </si>
  <si>
    <t>Vorkalkulation</t>
  </si>
  <si>
    <t>V.1</t>
  </si>
  <si>
    <t>Sachkosten</t>
  </si>
  <si>
    <t>Betrag netto</t>
  </si>
  <si>
    <t>Betrag brutto</t>
  </si>
  <si>
    <t>Geschäftsbedarf</t>
  </si>
  <si>
    <t>Dienstleistungen</t>
  </si>
  <si>
    <t>Fremdleistungen (extern)</t>
  </si>
  <si>
    <t>Reisekosten</t>
  </si>
  <si>
    <t>Labormaterial</t>
  </si>
  <si>
    <t>sonstige Ausgaben</t>
  </si>
  <si>
    <t>Summe Sachkosten</t>
  </si>
  <si>
    <t>V.2</t>
  </si>
  <si>
    <t>Investitionskosten</t>
  </si>
  <si>
    <t>(Siehe Tabellenblatt "Investitionen") (Nur bei Neuanschaffungen die durch den Auftraggeber zu 100% finanziert werden)</t>
  </si>
  <si>
    <t>Übertrag Blatt Investition</t>
  </si>
  <si>
    <t>Summe Investitionskosten</t>
  </si>
  <si>
    <t>V.3</t>
  </si>
  <si>
    <t>Personalkosten</t>
  </si>
  <si>
    <t>Hochschulpersonal für das Projekt (Projektvertrag)</t>
  </si>
  <si>
    <t>Stellen-anteil</t>
  </si>
  <si>
    <t>Anzahl
Monate</t>
  </si>
  <si>
    <t>Entgeltgruppe</t>
  </si>
  <si>
    <r>
      <t>Ø Personal-
Kosten /</t>
    </r>
    <r>
      <rPr>
        <b/>
        <sz val="10"/>
        <rFont val="Arial"/>
        <family val="2"/>
      </rPr>
      <t xml:space="preserve"> Monat</t>
    </r>
  </si>
  <si>
    <t>Gesamt</t>
  </si>
  <si>
    <t>Person 1</t>
  </si>
  <si>
    <t>Person 2</t>
  </si>
  <si>
    <t>Person 3</t>
  </si>
  <si>
    <t>Anzahl
Projekttage</t>
  </si>
  <si>
    <t>Std./Tag</t>
  </si>
  <si>
    <t>MA-Stunden</t>
  </si>
  <si>
    <r>
      <t>Ø Personal-
Kosten /</t>
    </r>
    <r>
      <rPr>
        <b/>
        <sz val="10"/>
        <rFont val="Arial"/>
        <family val="2"/>
      </rPr>
      <t>Std.</t>
    </r>
  </si>
  <si>
    <t>Hilfskraft 1</t>
  </si>
  <si>
    <t>Hilfskraft 2</t>
  </si>
  <si>
    <t>Sonstiges direkt beteiligtes Hochschulpersonal (Zeiterfassung)</t>
  </si>
  <si>
    <t>Professor, Juniorprofessor</t>
  </si>
  <si>
    <t>Mitarbeiter 1</t>
  </si>
  <si>
    <t>Mitarbeiter 2</t>
  </si>
  <si>
    <t>Mitarbeiter 3</t>
  </si>
  <si>
    <t>Mitarbeiter 4</t>
  </si>
  <si>
    <t>Summe Personalkosten</t>
  </si>
  <si>
    <t>V.4</t>
  </si>
  <si>
    <t>Labornutzung</t>
  </si>
  <si>
    <t>Laborbezeichnung</t>
  </si>
  <si>
    <t>Fakultät</t>
  </si>
  <si>
    <t>Anzahl Stunden</t>
  </si>
  <si>
    <t>Kosten/Std.</t>
  </si>
  <si>
    <t>Labor-
kosten</t>
  </si>
  <si>
    <t>Labor 1</t>
  </si>
  <si>
    <t>Labor 2</t>
  </si>
  <si>
    <t>Labor 3</t>
  </si>
  <si>
    <t>Summe Laborkosten</t>
  </si>
  <si>
    <t>VI</t>
  </si>
  <si>
    <t>Gesamtkosten für das Projekt</t>
  </si>
  <si>
    <t>Summe</t>
  </si>
  <si>
    <t>Laborkosten</t>
  </si>
  <si>
    <t>Summe Kosten</t>
  </si>
  <si>
    <t xml:space="preserve">Gemeinkostenzuschlag </t>
  </si>
  <si>
    <t>(Bezugsbasis Gesamtkosten ohne externe Fremdleistungen)</t>
  </si>
  <si>
    <t>Pauschale für Flächenutzung</t>
  </si>
  <si>
    <t>m²/Monat</t>
  </si>
  <si>
    <t>Pauschale für Gerätenutzung</t>
  </si>
  <si>
    <t>€/m²</t>
  </si>
  <si>
    <t>Pauschale für Nutzung Großgeräte</t>
  </si>
  <si>
    <t>(siehe Tabellenblatt Großgeräte DFG)</t>
  </si>
  <si>
    <t>Gewinnzuschlag</t>
  </si>
  <si>
    <t>Netto-Preis</t>
  </si>
  <si>
    <t>Umsatzsteuer</t>
  </si>
  <si>
    <t>Brutto-Preis</t>
  </si>
  <si>
    <t>Unterschrift Kostenstellenverantwortlicher</t>
  </si>
  <si>
    <t>____________________________</t>
  </si>
  <si>
    <t>Unterschrift Projektverantwortlicher</t>
  </si>
  <si>
    <t>_________________________</t>
  </si>
  <si>
    <t>(Name in Druckbuchstaben)</t>
  </si>
  <si>
    <t>Kalkulation Auftragsforschung + Dienstleistung
TransMIT GmbH Großgeräte</t>
  </si>
  <si>
    <t>(siehe Tabellenblatt "Investitionen")</t>
  </si>
  <si>
    <t>Verwendete Großgeräte der Universität</t>
  </si>
  <si>
    <t>DFG Großgerät</t>
  </si>
  <si>
    <t>Anzahl
Stunden</t>
  </si>
  <si>
    <t>Stundensatz Großgerät</t>
  </si>
  <si>
    <t>Gesamt (netto)</t>
  </si>
  <si>
    <t>Summe Großgerätekosten</t>
  </si>
  <si>
    <t>Unterschrift TransMIT</t>
  </si>
  <si>
    <t>Vorkalkulation wirtschaftliches Projekt 
für 2019</t>
  </si>
  <si>
    <t>Projektname</t>
  </si>
  <si>
    <t>Projektleiter</t>
  </si>
  <si>
    <t>Kostenstelle</t>
  </si>
  <si>
    <t>V 2.1</t>
  </si>
  <si>
    <t>100 % Finanzierung durch Auftraggeber</t>
  </si>
  <si>
    <t>Betrag
netto</t>
  </si>
  <si>
    <t>Investition 1</t>
  </si>
  <si>
    <t>Anschaffungskosten</t>
  </si>
  <si>
    <t>Investition 2</t>
  </si>
  <si>
    <t>V 2.2</t>
  </si>
  <si>
    <t>anteilige Finanzierung nur in Höhe AfA</t>
  </si>
  <si>
    <t>Investition 3</t>
  </si>
  <si>
    <t>Nutzungsdauer (Monate)</t>
  </si>
  <si>
    <t>Abschreibung pro Monat</t>
  </si>
  <si>
    <t>Nutzung im Projekt (Monate)</t>
  </si>
  <si>
    <t>Anteilige Abschreibungskosten</t>
  </si>
  <si>
    <t>Investition 4</t>
  </si>
  <si>
    <t>WICHTIGER HINWEIS FÜR DIE FINANZIERUNG VON INVESTITIONEN</t>
  </si>
  <si>
    <r>
      <t xml:space="preserve">Wenn eine </t>
    </r>
    <r>
      <rPr>
        <b/>
        <sz val="10"/>
        <color indexed="9"/>
        <rFont val="Arial"/>
        <family val="2"/>
      </rPr>
      <t xml:space="preserve">Investition </t>
    </r>
    <r>
      <rPr>
        <sz val="10"/>
        <color indexed="9"/>
        <rFont val="Arial"/>
        <family val="2"/>
      </rPr>
      <t>zu</t>
    </r>
    <r>
      <rPr>
        <b/>
        <sz val="10"/>
        <color indexed="9"/>
        <rFont val="Arial"/>
        <family val="2"/>
      </rPr>
      <t xml:space="preserve"> 100 %</t>
    </r>
    <r>
      <rPr>
        <sz val="10"/>
        <color indexed="9"/>
        <rFont val="Arial"/>
        <family val="2"/>
      </rPr>
      <t xml:space="preserve"> durch den Auftraggeber finanziert wird und die Projektlaufzeit geringer als die Nutzungsdauer</t>
    </r>
    <r>
      <rPr>
        <b/>
        <vertAlign val="superscript"/>
        <sz val="10"/>
        <color indexed="9"/>
        <rFont val="Arial"/>
        <family val="2"/>
      </rPr>
      <t xml:space="preserve"> *)</t>
    </r>
  </si>
  <si>
    <r>
      <t xml:space="preserve">ist, kann die Investition nach Ende des Projektes </t>
    </r>
    <r>
      <rPr>
        <b/>
        <sz val="10"/>
        <color indexed="9"/>
        <rFont val="Arial"/>
        <family val="2"/>
      </rPr>
      <t>ausschließlich</t>
    </r>
    <r>
      <rPr>
        <sz val="10"/>
        <color indexed="9"/>
        <rFont val="Arial"/>
        <family val="2"/>
      </rPr>
      <t xml:space="preserve"> im wirtschaftlichen Bereich eingesetzt werden.</t>
    </r>
  </si>
  <si>
    <r>
      <t xml:space="preserve">Sofern die Investition auch für den </t>
    </r>
    <r>
      <rPr>
        <b/>
        <u/>
        <sz val="10"/>
        <color indexed="9"/>
        <rFont val="Arial"/>
        <family val="2"/>
      </rPr>
      <t>nicht-wirtschaftlichen</t>
    </r>
    <r>
      <rPr>
        <sz val="10"/>
        <color indexed="9"/>
        <rFont val="Arial"/>
        <family val="2"/>
      </rPr>
      <t xml:space="preserve"> Bereich (Lehre, Forschung-&gt;Projektförderung) genutzt wird, muss</t>
    </r>
  </si>
  <si>
    <t xml:space="preserve">gemäß §15a UStG eine Vorsteuerkorrektur erfolgen. Dies bedeutet, dass sich in Höhe der Vorsteuerkorrektur der Anschaffungswert </t>
  </si>
  <si>
    <t>der Investition erhöht und dadurch Budget verbraucht wird. Die Mehrkosten müssen dann aus anderen Finanzierungsquellen</t>
  </si>
  <si>
    <t>finanziert werden.</t>
  </si>
  <si>
    <t>Bei Rückfragen wenden Sie sich bitte an die zuständigen Mitarbeiter/innen im Dezernat D, Abteilung Budgetmanagement/Operatives</t>
  </si>
  <si>
    <t>Finanzcontrolling</t>
  </si>
  <si>
    <r>
      <rPr>
        <b/>
        <i/>
        <vertAlign val="superscript"/>
        <sz val="9"/>
        <color indexed="9"/>
        <rFont val="Arial"/>
        <family val="2"/>
      </rPr>
      <t>*)</t>
    </r>
    <r>
      <rPr>
        <b/>
        <i/>
        <sz val="9"/>
        <color indexed="9"/>
        <rFont val="Arial"/>
        <family val="2"/>
      </rPr>
      <t xml:space="preserve"> </t>
    </r>
    <r>
      <rPr>
        <i/>
        <sz val="9"/>
        <color indexed="9"/>
        <rFont val="Arial"/>
        <family val="2"/>
      </rPr>
      <t>durchschnittl. Nutzungsdauer eines wiss. Gerätes rd. 13 Jahre - Quelle: AfA-Tabellen des Landes Hessen</t>
    </r>
  </si>
  <si>
    <t xml:space="preserve">BESTÄTIGUNG </t>
  </si>
  <si>
    <t>Hiermit bestätige ich, dass die seitens des Auftraggebers zu 100 % finanzierten Investionen nach Abschluss des Projektes</t>
  </si>
  <si>
    <r>
      <rPr>
        <b/>
        <sz val="10"/>
        <rFont val="Arial"/>
        <family val="2"/>
      </rPr>
      <t>ausschließlich</t>
    </r>
    <r>
      <rPr>
        <sz val="10"/>
        <rFont val="Arial"/>
        <family val="2"/>
      </rPr>
      <t xml:space="preserve"> im wirtschaftlichen Bereich eingesetzt werden.</t>
    </r>
  </si>
  <si>
    <t>Datum, Unterschrift Projektverantwortlicher</t>
  </si>
  <si>
    <t>Gehaltsgruppe</t>
  </si>
  <si>
    <t>Probe/Stunden/Jahr</t>
  </si>
  <si>
    <t>Stundensatz</t>
  </si>
  <si>
    <t>Monatsbetrag</t>
  </si>
  <si>
    <t>40 Std/Woche</t>
  </si>
  <si>
    <t>42Std/Woche</t>
  </si>
  <si>
    <t>Zuschlagssätze
2023</t>
  </si>
  <si>
    <t>Steigerung Pers. 3,85% in 2023</t>
  </si>
  <si>
    <t>Probe Stunden Jahr</t>
  </si>
  <si>
    <t>E1</t>
  </si>
  <si>
    <t>Geisteswissenschaften</t>
  </si>
  <si>
    <t>E2</t>
  </si>
  <si>
    <t>E2UE</t>
  </si>
  <si>
    <t>Medizin</t>
  </si>
  <si>
    <t>E3</t>
  </si>
  <si>
    <t>E4</t>
  </si>
  <si>
    <t>Bibliothek, HRZ</t>
  </si>
  <si>
    <t>Dezernat D</t>
  </si>
  <si>
    <t>Dezernat C</t>
  </si>
  <si>
    <t>E5</t>
  </si>
  <si>
    <t>E6</t>
  </si>
  <si>
    <t>Monat in Zahl</t>
  </si>
  <si>
    <t>E7</t>
  </si>
  <si>
    <t>E8</t>
  </si>
  <si>
    <t>Februar</t>
  </si>
  <si>
    <t xml:space="preserve">Stellenananteile </t>
  </si>
  <si>
    <t>E9</t>
  </si>
  <si>
    <t>März</t>
  </si>
  <si>
    <t>Ganze Stelle</t>
  </si>
  <si>
    <t>E10</t>
  </si>
  <si>
    <t>April</t>
  </si>
  <si>
    <t>3/4 Stelle</t>
  </si>
  <si>
    <t>E11</t>
  </si>
  <si>
    <t>Mai</t>
  </si>
  <si>
    <t>2/3 Stelle</t>
  </si>
  <si>
    <t>E12</t>
  </si>
  <si>
    <t>Juni</t>
  </si>
  <si>
    <t>60% Stelle</t>
  </si>
  <si>
    <t>E13</t>
  </si>
  <si>
    <t>Juli</t>
  </si>
  <si>
    <t>1/2 Stelle</t>
  </si>
  <si>
    <t>E14</t>
  </si>
  <si>
    <t>August</t>
  </si>
  <si>
    <t>30% Stelle</t>
  </si>
  <si>
    <t>E15</t>
  </si>
  <si>
    <t>September</t>
  </si>
  <si>
    <t>1/4 Stelle</t>
  </si>
  <si>
    <t>A5 ED</t>
  </si>
  <si>
    <t>Oktober</t>
  </si>
  <si>
    <t>10% Stelle</t>
  </si>
  <si>
    <t>A6 MD</t>
  </si>
  <si>
    <t>November</t>
  </si>
  <si>
    <t>A7</t>
  </si>
  <si>
    <t>A8</t>
  </si>
  <si>
    <t xml:space="preserve">Flächensätze 2023 </t>
  </si>
  <si>
    <t>gem. Berechnung kalk Miete für Campusbereiche V3-2023 Energie mit Soforthilfe, Einsparung und Drittabnehmer</t>
  </si>
  <si>
    <t>A9 GD</t>
  </si>
  <si>
    <t>A9 MD</t>
  </si>
  <si>
    <t>A10</t>
  </si>
  <si>
    <t>A11</t>
  </si>
  <si>
    <t>A12</t>
  </si>
  <si>
    <t>A13 GD</t>
  </si>
  <si>
    <t>A13 HD</t>
  </si>
  <si>
    <t>A14</t>
  </si>
  <si>
    <t>A15</t>
  </si>
  <si>
    <t>A16</t>
  </si>
  <si>
    <t>C3</t>
  </si>
  <si>
    <t>C4</t>
  </si>
  <si>
    <t>W1</t>
  </si>
  <si>
    <t>W2</t>
  </si>
  <si>
    <t>W3</t>
  </si>
  <si>
    <t>Professor/in (Kontingent UKGM)</t>
  </si>
  <si>
    <t>Wissenschaftler/in (Kontingent UKGM)</t>
  </si>
  <si>
    <t>Nichtwissenschaftler/in (Kontingent UKGM)</t>
  </si>
  <si>
    <t>stud. Hilfskraft</t>
  </si>
  <si>
    <t>wiss. Hilfskraft</t>
  </si>
  <si>
    <t>Honorare Referenten intern</t>
  </si>
  <si>
    <t>Referent</t>
  </si>
  <si>
    <t>Professor/in</t>
  </si>
  <si>
    <t>Promovierte Referent/in</t>
  </si>
  <si>
    <t xml:space="preserve">Referent/in mit Studienabschluss </t>
  </si>
  <si>
    <t>Kalkulationstool Raummiete auf Basis Flächenbestandsbewertung 2016</t>
  </si>
  <si>
    <t>Berechnung Mietfläche über den gesamten Projektzeitraum (anteilige Berechnung Allgemeine Flächen)</t>
  </si>
  <si>
    <t>Campusbereich/Cluster:</t>
  </si>
  <si>
    <t>(*Bitte entsprechenden Campusbereich oder Cluster auswählen)</t>
  </si>
  <si>
    <t>Arbeitsprofil der Professur:</t>
  </si>
  <si>
    <t>Prozentualer Wert</t>
  </si>
  <si>
    <t>1. theoretisch/rechnergestützt</t>
  </si>
  <si>
    <t>(*Bitte entsprechenden Prozentwert auswählen)</t>
  </si>
  <si>
    <t>2. biologisch-nasspräparativ</t>
  </si>
  <si>
    <t>3. chemisch-nasspräparativ</t>
  </si>
  <si>
    <t>4. physikalisch-technisch</t>
  </si>
  <si>
    <t xml:space="preserve">(* Bitte nachfolgend die entsprechenden Werte in die gelben Felder eintragen) </t>
  </si>
  <si>
    <t>Theor. Flächen</t>
  </si>
  <si>
    <t>Prakt. Flächen</t>
  </si>
  <si>
    <t>Technische Flächen</t>
  </si>
  <si>
    <t>Summe NUF 1-6</t>
  </si>
  <si>
    <t>Gewichtungsfaktor</t>
  </si>
  <si>
    <t>Summe m²</t>
  </si>
  <si>
    <t>Anzahl eingesetztes Landesmittelpersonal:</t>
  </si>
  <si>
    <t>Anzahl</t>
  </si>
  <si>
    <t>Flächenansatz</t>
  </si>
  <si>
    <t>Summe Fläche m²</t>
  </si>
  <si>
    <t>Professoren, Juniorprofessoren</t>
  </si>
  <si>
    <t>Personen</t>
  </si>
  <si>
    <t>Mitarbeiter</t>
  </si>
  <si>
    <t>Stellenanteil</t>
  </si>
  <si>
    <t>qm² pro Monat</t>
  </si>
  <si>
    <t>Benötigte m²</t>
  </si>
  <si>
    <t>Mitarbeiter Dauerverhältnis</t>
  </si>
  <si>
    <t>Projektlaufzeit</t>
  </si>
  <si>
    <t>stud./wiss. Hilfskräfte*1)</t>
  </si>
  <si>
    <t>Mitarbeiter DM befristet 1</t>
  </si>
  <si>
    <t>Zwischensumme:</t>
  </si>
  <si>
    <t>Mitarbeiter DM befristet 2</t>
  </si>
  <si>
    <t>Anzahl eingesetztes Drittmittelpersonal</t>
  </si>
  <si>
    <t>Mitarbeiter DM befristet 3</t>
  </si>
  <si>
    <t>Mitarbeiter DM befristet</t>
  </si>
  <si>
    <t>Stunden</t>
  </si>
  <si>
    <t>stud./wiss. Hilfskräfte</t>
  </si>
  <si>
    <t>Personenbezogene Flächen allg.</t>
  </si>
  <si>
    <t>Besprechnungsfläche *2)</t>
  </si>
  <si>
    <t>Wiss. BV</t>
  </si>
  <si>
    <t>Bürotechnikfläche *3)</t>
  </si>
  <si>
    <t>Prof.</t>
  </si>
  <si>
    <t>Sozialfläche*4)</t>
  </si>
  <si>
    <t>hbfl. BV</t>
  </si>
  <si>
    <t>Allgemeine Flächen</t>
  </si>
  <si>
    <t>Mitarbeiter Dauerverhältnis 1</t>
  </si>
  <si>
    <t>Bibliothek - Handapparat</t>
  </si>
  <si>
    <t>BE</t>
  </si>
  <si>
    <t>Mitarbeiter Dauerverhältnis 2</t>
  </si>
  <si>
    <t>Service- und Ergänzungslabore</t>
  </si>
  <si>
    <t>% Laborfl.</t>
  </si>
  <si>
    <t>Lernwerkstatt/Schülerlabor</t>
  </si>
  <si>
    <t>AP</t>
  </si>
  <si>
    <t>Didaktiksammlung</t>
  </si>
  <si>
    <t>Bestand</t>
  </si>
  <si>
    <t>m²</t>
  </si>
  <si>
    <t>Lagerflächen</t>
  </si>
  <si>
    <t>% Fl. Ges.</t>
  </si>
  <si>
    <t>Monate</t>
  </si>
  <si>
    <t xml:space="preserve">Gesamtsumme: </t>
  </si>
  <si>
    <t>1.) 2 stud/ wiss. Hilfkräfte teilen sich einen Arbeitsplatz  von 6m²</t>
  </si>
  <si>
    <t>kalk. Kaltmiete pro m²:</t>
  </si>
  <si>
    <t>Monatliche Kaltmiete:</t>
  </si>
  <si>
    <t>2) abhängig von der Zahl des Wissenschaftlichen Personals</t>
  </si>
  <si>
    <t>kalk. Nebenkosten pro m²:</t>
  </si>
  <si>
    <t>Monatliche Nebenkosten:</t>
  </si>
  <si>
    <t>3) abhängig von der Professorenzahl</t>
  </si>
  <si>
    <t>4) abhängig von der Zahl des hauptberuflichen Personals</t>
  </si>
  <si>
    <t>Raumbedarf m²:</t>
  </si>
  <si>
    <t xml:space="preserve">Gesamt Betrag monatlich: </t>
  </si>
  <si>
    <t>5) Die theoretischen Flächen wurden mit 1 gewichtet</t>
  </si>
  <si>
    <t>Raumbedarf gesamte Projektlaufzeit</t>
  </si>
  <si>
    <t>Miete/m²</t>
  </si>
  <si>
    <t>Miete Gesamt</t>
  </si>
  <si>
    <t>Durchschnittl. Raumbedarf pro Monat</t>
  </si>
  <si>
    <t>(für :</t>
  </si>
  <si>
    <t>Monate Gesamtprojektlaufzeit)</t>
  </si>
  <si>
    <t>Cluster Medizin (Gewichtete Kosten)</t>
  </si>
  <si>
    <t>€/qm</t>
  </si>
  <si>
    <t>Ntzg-Dauer</t>
  </si>
  <si>
    <t>AfA/Jahr</t>
  </si>
  <si>
    <t>NF 1-7</t>
  </si>
  <si>
    <t>Allgemeine Ausstattung</t>
  </si>
  <si>
    <t>Allgemeines Mobiliar</t>
  </si>
  <si>
    <t>Bürotechnik</t>
  </si>
  <si>
    <t>Besondere Ausstattung</t>
  </si>
  <si>
    <t>spezielles Mobiliar</t>
  </si>
  <si>
    <t>Medizintechnik</t>
  </si>
  <si>
    <t>davon Großgerät</t>
  </si>
  <si>
    <t>Labormedienlagerung und -verteilung</t>
  </si>
  <si>
    <t>nachrichtlich nicht zu berücksichtigen</t>
  </si>
  <si>
    <t>Medizintechnik-Zubehör (Verbrauch)</t>
  </si>
  <si>
    <t>Sonstige, ohne Zuordnung</t>
  </si>
  <si>
    <t>Sonstige Ausstattung</t>
  </si>
  <si>
    <t>Monatlich/m²</t>
  </si>
  <si>
    <t>Cluster Lebens- und Naturwissenschaften (Gewichtete Kosten)</t>
  </si>
  <si>
    <t>Biologie, Chemie/Pharmazie</t>
  </si>
  <si>
    <t>Physik</t>
  </si>
  <si>
    <t>Mittelwert</t>
  </si>
  <si>
    <t>Forschungsgeräte/Labortechnik o. GG</t>
  </si>
  <si>
    <t>Großgerät analog Medizin</t>
  </si>
  <si>
    <t>EDV/Bürotechnik</t>
  </si>
  <si>
    <t>Mobiliar</t>
  </si>
  <si>
    <t>Sonstige/Diverse (undifferenziert)</t>
  </si>
  <si>
    <t>nachrichtl.</t>
  </si>
  <si>
    <t>Werkstattgeräte</t>
  </si>
  <si>
    <t>Ergänzende Haustechnik, Werkstatt- und Labormaterilaien</t>
  </si>
  <si>
    <t>Präsentationstechnik/Lehrraumausstattung</t>
  </si>
  <si>
    <t>Cluster Geisteswissenschaften (Durchschnittswert nach Raumverwendung)</t>
  </si>
  <si>
    <t>Büroräume</t>
  </si>
  <si>
    <t>Büroergänzungsräume</t>
  </si>
  <si>
    <t>Lagerräume</t>
  </si>
  <si>
    <t>Sozialräume</t>
  </si>
  <si>
    <t>Durchschnittlicher Preis pro Jahr</t>
  </si>
  <si>
    <t>Jahr/m²</t>
  </si>
  <si>
    <t>Monat/m²</t>
  </si>
  <si>
    <t>Campusbereich</t>
  </si>
  <si>
    <t>kalk. Miete/gHNF - Kaltmiete</t>
  </si>
  <si>
    <t>kalk. Miete/gHNF - Nebenkosten</t>
  </si>
  <si>
    <t>Prozent</t>
  </si>
  <si>
    <t>Gewichteter Wert</t>
  </si>
  <si>
    <t>Personal:</t>
  </si>
  <si>
    <t>Praktische Fläche m²</t>
  </si>
  <si>
    <t>Wiss. Mitarbeiter, befristet</t>
  </si>
  <si>
    <t>Auszubildende</t>
  </si>
  <si>
    <t>Technisches Personal</t>
  </si>
  <si>
    <t>Wiss. Mitarbeiter DM</t>
  </si>
  <si>
    <t>Stipendiaten, Doktoranten</t>
  </si>
  <si>
    <t>0</t>
  </si>
  <si>
    <t>Gewichtung</t>
  </si>
  <si>
    <t>Tabelle DFG Großgeräte</t>
  </si>
  <si>
    <t>Anwendungsbetrieb</t>
  </si>
  <si>
    <t>Servicebetrieb</t>
  </si>
  <si>
    <t>Geräteklasse I</t>
  </si>
  <si>
    <t>Geräteklasse II</t>
  </si>
  <si>
    <t>Geräteklasse III</t>
  </si>
  <si>
    <t>Geräteklasse I (m.Service)</t>
  </si>
  <si>
    <t>Geräteklasse II (m.Service)</t>
  </si>
  <si>
    <t>Geräteklasse III (m.Service)</t>
  </si>
  <si>
    <t>Basissatz</t>
  </si>
  <si>
    <t>Erhöhter Satz</t>
  </si>
  <si>
    <t>Magnetresonanztomographie (MRT)</t>
  </si>
  <si>
    <t>Massenspektrometrie</t>
  </si>
  <si>
    <t>Hochentwickelte Lichtmikroskopie</t>
  </si>
  <si>
    <t>Elektronenmikroskopie</t>
  </si>
  <si>
    <t>Durchflusszyntometie</t>
  </si>
  <si>
    <t>DFG-Sätze</t>
  </si>
  <si>
    <t>NMR-Spektroskopie Basis automatisiert Mittlere Feldstärke (bis 400 MHZ)</t>
  </si>
  <si>
    <t xml:space="preserve">NMR-Spektroskopie Basis automatisiert Feldstärke (ab 500 MHZ) </t>
  </si>
  <si>
    <t>NMR-Spektroskopie Basis Manuelle Messung (bis 400 MHZ)</t>
  </si>
  <si>
    <t>NMR-Spektroskopie Basis Manuelle Messung (ab 500 MHZ)</t>
  </si>
  <si>
    <t>NMR-Spektroskopie Komplex Mittlere Feldstärke (bis 400 MHZ mehrtägig)</t>
  </si>
  <si>
    <t>NMR-Spektroskopie Komplex Feldstärke (ab 500 MHZ mehrtägig)</t>
  </si>
  <si>
    <t>Magnetresonanztomographie (MRT) Basissatz</t>
  </si>
  <si>
    <t>Magnetresonanztomographie (MRT) Erhöhter Satz ab 7 Tesla</t>
  </si>
  <si>
    <t>Massenspektrometrie Basissatz</t>
  </si>
  <si>
    <t>Lichtmikroskopie Kl. I (Einfache Systeme) o. Service</t>
  </si>
  <si>
    <t>Lichtmikroskopie Kl. II (Laserscanning, Spinning Disc) o.Service</t>
  </si>
  <si>
    <t>Lichtmikroskopie Kl. III (Hochentwickelte Systeme) o. Service</t>
  </si>
  <si>
    <t>Elektronenmikroskopie Kl. I (REM) o. Service</t>
  </si>
  <si>
    <t>Elektronenmikroskopie Kl. II (FIB, TEM, Mikrosonde )o. Service</t>
  </si>
  <si>
    <t>Elektronenmikroskopie Kl. III (Cryo- TEM, High End) o. Service</t>
  </si>
  <si>
    <t>Durchflusszyntometie Kl. I (bis 3 Laser) o. Service</t>
  </si>
  <si>
    <t>Durchflusszyntometie Kl. II (ab 3 Laser) o. Service</t>
  </si>
  <si>
    <t>Durchflusszyntometie Kl. III (Cell Sorter) o. Service</t>
  </si>
  <si>
    <t>Berechnung Personalkosten IST laut Personalcontrolling</t>
  </si>
  <si>
    <t>Bemerkung</t>
  </si>
  <si>
    <t>Wert €</t>
  </si>
  <si>
    <t>Nur für den JLU internen Gebrauch in Absprache mit WTT 2</t>
  </si>
  <si>
    <t>Netto AZ Stand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</si>
</sst>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€&quot;_-;\-* #,##0.00\ &quot;€&quot;_-;_-* &quot;-&quot;??\ &quot;€&quot;_-;_-@_-"/>
    <numFmt numFmtId="164" formatCode="&quot;€&quot;#,##0_);\(&quot;€&quot;#,##0\)"/>
    <numFmt numFmtId="165" formatCode="_(&quot;€&quot;* #,##0_);_(&quot;€&quot;* \(#,##0\);_(&quot;€&quot;* &quot;-&quot;_);_(@_)"/>
    <numFmt numFmtId="166" formatCode="_(&quot;€&quot;* #,##0.00_);_(&quot;€&quot;* \(#,##0.00\);_(&quot;€&quot;* &quot;-&quot;??_);_(@_)"/>
    <numFmt numFmtId="167" formatCode="#,##0\ &quot;€&quot;"/>
    <numFmt numFmtId="168" formatCode="_-* #,##0.00\ _€_-;\-* #,##0.00\ _€_-;_-* &quot;-&quot;??\ _€_-;_-@_-"/>
    <numFmt numFmtId="169" formatCode="_-* #,##0\ &quot;€&quot;_-;\-* #,##0\ &quot;€&quot;_-;_-* &quot;-&quot;??\ &quot;€&quot;_-;_-@_-"/>
    <numFmt numFmtId="170" formatCode="#,##0.0"/>
    <numFmt numFmtId="171" formatCode="_-* #,##0\ _€_-;\-* #,##0\ _€_-;_-* &quot;-&quot;??\ _€_-;_-@_-"/>
    <numFmt numFmtId="172" formatCode="_-* #,##0.00\ _€_-;\-* #,##0.00\ _€_-;_-* &quot;-&quot;?\ _€_-;_-@_-"/>
    <numFmt numFmtId="173" formatCode="_-* #,##0.0\ _€_-;\-* #,##0.0\ _€_-;_-* &quot;-&quot;??\ _€_-;_-@_-"/>
    <numFmt numFmtId="174" formatCode="[$-407]mmmmm;@"/>
    <numFmt numFmtId="175" formatCode="_-* #,##0.00\ _€_-;\-* #,##0.00\ _€_-;_-* &quot;-&quot;???????\ _€_-;_-@_-"/>
    <numFmt numFmtId="176" formatCode="#,##0.00\ &quot;€&quot;"/>
    <numFmt numFmtId="177" formatCode="0.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u/>
      <sz val="10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u/>
      <sz val="10"/>
      <color rgb="FFFF0000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u/>
      <sz val="10"/>
      <color indexed="9"/>
      <name val="Arial"/>
      <family val="2"/>
    </font>
    <font>
      <i/>
      <sz val="9"/>
      <color theme="0"/>
      <name val="Arial"/>
      <family val="2"/>
    </font>
    <font>
      <b/>
      <i/>
      <vertAlign val="superscript"/>
      <sz val="9"/>
      <color indexed="9"/>
      <name val="Arial"/>
      <family val="2"/>
    </font>
    <font>
      <b/>
      <i/>
      <sz val="9"/>
      <color indexed="9"/>
      <name val="Arial"/>
      <family val="2"/>
    </font>
    <font>
      <i/>
      <sz val="9"/>
      <color indexed="9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9">
    <xf numFmtId="0" fontId="0" fillId="0" borderId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7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0" fillId="3" borderId="0" xfId="0" applyFill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9" fillId="0" borderId="0" xfId="0" applyFont="1" applyProtection="1"/>
    <xf numFmtId="0" fontId="10" fillId="3" borderId="9" xfId="0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0" fillId="3" borderId="0" xfId="0" applyFill="1" applyBorder="1" applyProtection="1"/>
    <xf numFmtId="0" fontId="0" fillId="0" borderId="0" xfId="0" applyBorder="1" applyProtection="1"/>
    <xf numFmtId="1" fontId="10" fillId="2" borderId="0" xfId="0" applyNumberFormat="1" applyFont="1" applyFill="1" applyBorder="1" applyAlignment="1" applyProtection="1">
      <alignment horizontal="right"/>
    </xf>
    <xf numFmtId="1" fontId="0" fillId="4" borderId="10" xfId="0" applyNumberFormat="1" applyFill="1" applyBorder="1" applyProtection="1">
      <protection locked="0"/>
    </xf>
    <xf numFmtId="9" fontId="9" fillId="0" borderId="0" xfId="0" applyNumberFormat="1" applyFont="1" applyProtection="1"/>
    <xf numFmtId="0" fontId="0" fillId="3" borderId="9" xfId="0" applyFill="1" applyBorder="1" applyProtection="1"/>
    <xf numFmtId="0" fontId="0" fillId="3" borderId="11" xfId="0" applyFill="1" applyBorder="1" applyProtection="1"/>
    <xf numFmtId="0" fontId="0" fillId="2" borderId="0" xfId="0" applyFill="1" applyBorder="1" applyProtection="1"/>
    <xf numFmtId="1" fontId="9" fillId="2" borderId="0" xfId="0" applyNumberFormat="1" applyFont="1" applyFill="1" applyBorder="1" applyAlignment="1" applyProtection="1">
      <alignment horizontal="left"/>
      <protection locked="0"/>
    </xf>
    <xf numFmtId="1" fontId="10" fillId="2" borderId="0" xfId="0" applyNumberFormat="1" applyFont="1" applyFill="1" applyBorder="1" applyAlignment="1" applyProtection="1">
      <alignment horizontal="right"/>
      <protection locked="0"/>
    </xf>
    <xf numFmtId="1" fontId="0" fillId="4" borderId="10" xfId="0" applyNumberFormat="1" applyFill="1" applyBorder="1" applyAlignment="1" applyProtection="1">
      <protection locked="0"/>
    </xf>
    <xf numFmtId="2" fontId="9" fillId="2" borderId="0" xfId="0" applyNumberFormat="1" applyFont="1" applyFill="1" applyBorder="1" applyAlignment="1" applyProtection="1">
      <alignment horizontal="left"/>
    </xf>
    <xf numFmtId="2" fontId="0" fillId="2" borderId="0" xfId="0" applyNumberFormat="1" applyFill="1" applyBorder="1" applyAlignment="1" applyProtection="1">
      <alignment horizontal="left"/>
    </xf>
    <xf numFmtId="0" fontId="0" fillId="0" borderId="11" xfId="0" applyFill="1" applyBorder="1" applyProtection="1"/>
    <xf numFmtId="0" fontId="0" fillId="3" borderId="0" xfId="0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11" fillId="5" borderId="0" xfId="4" applyFont="1" applyFill="1" applyProtection="1"/>
    <xf numFmtId="1" fontId="11" fillId="5" borderId="0" xfId="4" applyNumberFormat="1" applyFont="1" applyFill="1" applyProtection="1"/>
    <xf numFmtId="0" fontId="11" fillId="5" borderId="0" xfId="4" applyNumberFormat="1" applyFont="1" applyFill="1" applyProtection="1"/>
    <xf numFmtId="0" fontId="9" fillId="5" borderId="0" xfId="0" applyFont="1" applyFill="1" applyProtection="1"/>
    <xf numFmtId="2" fontId="10" fillId="0" borderId="0" xfId="0" applyNumberFormat="1" applyFont="1" applyFill="1" applyBorder="1" applyAlignment="1" applyProtection="1">
      <alignment horizontal="center"/>
    </xf>
    <xf numFmtId="1" fontId="0" fillId="4" borderId="12" xfId="0" applyNumberFormat="1" applyFill="1" applyBorder="1" applyAlignment="1" applyProtection="1">
      <protection locked="0"/>
    </xf>
    <xf numFmtId="2" fontId="0" fillId="4" borderId="12" xfId="0" applyNumberFormat="1" applyFill="1" applyBorder="1" applyAlignment="1" applyProtection="1">
      <protection locked="0"/>
    </xf>
    <xf numFmtId="1" fontId="0" fillId="4" borderId="3" xfId="0" applyNumberFormat="1" applyFill="1" applyBorder="1" applyAlignment="1" applyProtection="1">
      <protection locked="0"/>
    </xf>
    <xf numFmtId="2" fontId="10" fillId="2" borderId="0" xfId="0" applyNumberFormat="1" applyFont="1" applyFill="1" applyBorder="1" applyAlignment="1" applyProtection="1">
      <alignment horizontal="center"/>
    </xf>
    <xf numFmtId="2" fontId="9" fillId="4" borderId="12" xfId="0" applyNumberFormat="1" applyFont="1" applyFill="1" applyBorder="1" applyAlignment="1" applyProtection="1">
      <protection locked="0"/>
    </xf>
    <xf numFmtId="0" fontId="0" fillId="0" borderId="11" xfId="0" applyBorder="1" applyProtection="1"/>
    <xf numFmtId="2" fontId="9" fillId="3" borderId="0" xfId="0" applyNumberFormat="1" applyFont="1" applyFill="1" applyBorder="1" applyAlignment="1" applyProtection="1">
      <alignment horizontal="left"/>
    </xf>
    <xf numFmtId="2" fontId="0" fillId="3" borderId="0" xfId="0" applyNumberFormat="1" applyFill="1" applyBorder="1" applyAlignment="1" applyProtection="1">
      <alignment horizontal="left"/>
    </xf>
    <xf numFmtId="2" fontId="12" fillId="3" borderId="0" xfId="0" applyNumberFormat="1" applyFont="1" applyFill="1" applyBorder="1" applyAlignment="1" applyProtection="1">
      <alignment horizontal="left"/>
    </xf>
    <xf numFmtId="2" fontId="10" fillId="3" borderId="0" xfId="0" applyNumberFormat="1" applyFont="1" applyFill="1" applyBorder="1" applyAlignment="1" applyProtection="1">
      <alignment horizontal="right"/>
    </xf>
    <xf numFmtId="0" fontId="10" fillId="3" borderId="13" xfId="0" applyFont="1" applyFill="1" applyBorder="1" applyAlignment="1" applyProtection="1">
      <alignment horizontal="center"/>
    </xf>
    <xf numFmtId="0" fontId="10" fillId="3" borderId="5" xfId="0" applyFont="1" applyFill="1" applyBorder="1" applyProtection="1"/>
    <xf numFmtId="0" fontId="0" fillId="3" borderId="5" xfId="0" applyFill="1" applyBorder="1" applyProtection="1"/>
    <xf numFmtId="2" fontId="0" fillId="3" borderId="5" xfId="0" applyNumberFormat="1" applyFill="1" applyBorder="1" applyAlignment="1" applyProtection="1">
      <alignment horizontal="center"/>
    </xf>
    <xf numFmtId="0" fontId="0" fillId="3" borderId="14" xfId="0" applyFill="1" applyBorder="1" applyProtection="1"/>
    <xf numFmtId="0" fontId="13" fillId="3" borderId="0" xfId="0" applyFont="1" applyFill="1" applyProtection="1"/>
    <xf numFmtId="0" fontId="14" fillId="3" borderId="9" xfId="0" applyFont="1" applyFill="1" applyBorder="1" applyAlignment="1" applyProtection="1">
      <alignment horizontal="center"/>
    </xf>
    <xf numFmtId="0" fontId="14" fillId="3" borderId="0" xfId="0" applyFont="1" applyFill="1" applyBorder="1" applyProtection="1"/>
    <xf numFmtId="0" fontId="13" fillId="3" borderId="0" xfId="0" applyFont="1" applyFill="1" applyBorder="1" applyProtection="1"/>
    <xf numFmtId="0" fontId="13" fillId="3" borderId="11" xfId="0" applyFont="1" applyFill="1" applyBorder="1" applyProtection="1"/>
    <xf numFmtId="0" fontId="13" fillId="0" borderId="0" xfId="0" applyFont="1" applyProtection="1"/>
    <xf numFmtId="0" fontId="13" fillId="3" borderId="9" xfId="0" applyFont="1" applyFill="1" applyBorder="1" applyProtection="1"/>
    <xf numFmtId="0" fontId="14" fillId="3" borderId="0" xfId="0" applyFont="1" applyFill="1" applyBorder="1" applyAlignment="1" applyProtection="1">
      <alignment horizontal="center"/>
    </xf>
    <xf numFmtId="0" fontId="13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13" fillId="2" borderId="0" xfId="0" applyFont="1" applyFill="1" applyProtection="1"/>
    <xf numFmtId="0" fontId="15" fillId="2" borderId="0" xfId="0" applyFont="1" applyFill="1" applyBorder="1" applyAlignment="1" applyProtection="1">
      <alignment horizontal="right" vertical="center" wrapText="1"/>
    </xf>
    <xf numFmtId="0" fontId="13" fillId="2" borderId="0" xfId="0" applyFont="1" applyFill="1" applyBorder="1" applyAlignment="1" applyProtection="1">
      <alignment horizontal="right" wrapText="1"/>
    </xf>
    <xf numFmtId="0" fontId="16" fillId="3" borderId="0" xfId="0" applyFont="1" applyFill="1" applyBorder="1" applyAlignment="1" applyProtection="1">
      <alignment horizontal="center"/>
    </xf>
    <xf numFmtId="0" fontId="13" fillId="0" borderId="0" xfId="0" applyFont="1" applyBorder="1" applyProtection="1"/>
    <xf numFmtId="0" fontId="13" fillId="2" borderId="0" xfId="0" applyFont="1" applyFill="1" applyBorder="1" applyAlignment="1" applyProtection="1">
      <alignment horizontal="right"/>
    </xf>
    <xf numFmtId="167" fontId="14" fillId="2" borderId="0" xfId="0" applyNumberFormat="1" applyFont="1" applyFill="1" applyBorder="1" applyProtection="1"/>
    <xf numFmtId="167" fontId="14" fillId="3" borderId="0" xfId="0" applyNumberFormat="1" applyFont="1" applyFill="1" applyBorder="1" applyProtection="1"/>
    <xf numFmtId="9" fontId="13" fillId="3" borderId="0" xfId="3" applyFont="1" applyFill="1" applyBorder="1" applyProtection="1"/>
    <xf numFmtId="164" fontId="14" fillId="3" borderId="0" xfId="1" applyNumberFormat="1" applyFont="1" applyFill="1" applyBorder="1" applyProtection="1"/>
    <xf numFmtId="0" fontId="14" fillId="2" borderId="0" xfId="0" applyFont="1" applyFill="1" applyBorder="1" applyProtection="1"/>
    <xf numFmtId="9" fontId="13" fillId="4" borderId="12" xfId="0" applyNumberFormat="1" applyFont="1" applyFill="1" applyBorder="1" applyAlignment="1" applyProtection="1">
      <protection locked="0"/>
    </xf>
    <xf numFmtId="9" fontId="13" fillId="2" borderId="0" xfId="3" applyFont="1" applyFill="1" applyBorder="1" applyProtection="1">
      <protection locked="0"/>
    </xf>
    <xf numFmtId="164" fontId="13" fillId="3" borderId="0" xfId="1" applyNumberFormat="1" applyFont="1" applyFill="1" applyBorder="1" applyProtection="1"/>
    <xf numFmtId="9" fontId="13" fillId="2" borderId="0" xfId="3" applyFont="1" applyFill="1" applyBorder="1" applyProtection="1"/>
    <xf numFmtId="4" fontId="16" fillId="2" borderId="0" xfId="0" applyNumberFormat="1" applyFont="1" applyFill="1" applyBorder="1" applyAlignment="1" applyProtection="1">
      <alignment horizontal="right"/>
    </xf>
    <xf numFmtId="167" fontId="13" fillId="3" borderId="0" xfId="0" applyNumberFormat="1" applyFont="1" applyFill="1" applyBorder="1" applyProtection="1"/>
    <xf numFmtId="4" fontId="16" fillId="3" borderId="0" xfId="0" applyNumberFormat="1" applyFont="1" applyFill="1" applyBorder="1" applyAlignment="1" applyProtection="1">
      <alignment horizontal="right"/>
    </xf>
    <xf numFmtId="0" fontId="14" fillId="6" borderId="0" xfId="0" applyFont="1" applyFill="1" applyBorder="1" applyProtection="1"/>
    <xf numFmtId="0" fontId="13" fillId="6" borderId="0" xfId="0" applyFont="1" applyFill="1" applyBorder="1" applyProtection="1"/>
    <xf numFmtId="167" fontId="14" fillId="6" borderId="0" xfId="0" applyNumberFormat="1" applyFont="1" applyFill="1" applyBorder="1" applyAlignment="1" applyProtection="1"/>
    <xf numFmtId="4" fontId="16" fillId="6" borderId="0" xfId="0" applyNumberFormat="1" applyFont="1" applyFill="1" applyBorder="1" applyAlignment="1" applyProtection="1">
      <alignment horizontal="right"/>
    </xf>
    <xf numFmtId="167" fontId="14" fillId="6" borderId="0" xfId="0" applyNumberFormat="1" applyFont="1" applyFill="1" applyBorder="1" applyProtection="1"/>
    <xf numFmtId="0" fontId="0" fillId="3" borderId="13" xfId="0" applyFill="1" applyBorder="1" applyProtection="1"/>
    <xf numFmtId="0" fontId="9" fillId="3" borderId="5" xfId="0" applyFont="1" applyFill="1" applyBorder="1" applyProtection="1"/>
    <xf numFmtId="2" fontId="17" fillId="3" borderId="5" xfId="0" applyNumberFormat="1" applyFont="1" applyFill="1" applyBorder="1" applyAlignment="1" applyProtection="1">
      <alignment vertical="top"/>
    </xf>
    <xf numFmtId="0" fontId="18" fillId="0" borderId="0" xfId="0" applyFont="1" applyProtection="1"/>
    <xf numFmtId="0" fontId="9" fillId="3" borderId="0" xfId="0" applyFont="1" applyFill="1" applyBorder="1" applyProtection="1"/>
    <xf numFmtId="2" fontId="17" fillId="3" borderId="0" xfId="0" applyNumberFormat="1" applyFont="1" applyFill="1" applyBorder="1" applyAlignment="1" applyProtection="1">
      <alignment vertical="top"/>
    </xf>
    <xf numFmtId="0" fontId="0" fillId="3" borderId="15" xfId="0" applyFill="1" applyBorder="1" applyProtection="1"/>
    <xf numFmtId="0" fontId="9" fillId="3" borderId="7" xfId="0" applyFont="1" applyFill="1" applyBorder="1" applyProtection="1"/>
    <xf numFmtId="2" fontId="17" fillId="3" borderId="7" xfId="0" applyNumberFormat="1" applyFont="1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horizontal="right" wrapText="1"/>
    </xf>
    <xf numFmtId="0" fontId="10" fillId="3" borderId="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horizontal="right" wrapText="1"/>
    </xf>
    <xf numFmtId="169" fontId="0" fillId="2" borderId="0" xfId="0" applyNumberFormat="1" applyFill="1" applyBorder="1" applyProtection="1"/>
    <xf numFmtId="169" fontId="0" fillId="3" borderId="0" xfId="0" applyNumberFormat="1" applyFill="1" applyBorder="1" applyProtection="1"/>
    <xf numFmtId="167" fontId="13" fillId="2" borderId="0" xfId="0" applyNumberFormat="1" applyFont="1" applyFill="1" applyBorder="1" applyAlignment="1" applyProtection="1">
      <protection locked="0"/>
    </xf>
    <xf numFmtId="0" fontId="10" fillId="6" borderId="0" xfId="0" applyFont="1" applyFill="1" applyBorder="1" applyProtection="1"/>
    <xf numFmtId="0" fontId="0" fillId="6" borderId="0" xfId="0" applyFill="1" applyProtection="1"/>
    <xf numFmtId="0" fontId="0" fillId="6" borderId="0" xfId="0" applyFill="1" applyBorder="1" applyProtection="1"/>
    <xf numFmtId="169" fontId="10" fillId="6" borderId="0" xfId="0" applyNumberFormat="1" applyFont="1" applyFill="1" applyBorder="1" applyProtection="1"/>
    <xf numFmtId="0" fontId="0" fillId="3" borderId="0" xfId="0" applyFill="1" applyAlignment="1" applyProtection="1">
      <alignment horizontal="left"/>
    </xf>
    <xf numFmtId="0" fontId="0" fillId="3" borderId="9" xfId="0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/>
    </xf>
    <xf numFmtId="0" fontId="19" fillId="3" borderId="0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left" wrapText="1"/>
    </xf>
    <xf numFmtId="0" fontId="0" fillId="3" borderId="11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vertical="center"/>
    </xf>
    <xf numFmtId="0" fontId="0" fillId="3" borderId="9" xfId="0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10" fillId="3" borderId="1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2" fontId="9" fillId="3" borderId="16" xfId="0" applyNumberFormat="1" applyFont="1" applyFill="1" applyBorder="1" applyAlignment="1" applyProtection="1">
      <alignment vertical="top"/>
    </xf>
    <xf numFmtId="2" fontId="9" fillId="3" borderId="0" xfId="0" applyNumberFormat="1" applyFont="1" applyFill="1" applyBorder="1" applyAlignment="1" applyProtection="1">
      <alignment vertical="top"/>
    </xf>
    <xf numFmtId="4" fontId="0" fillId="4" borderId="12" xfId="0" applyNumberFormat="1" applyFill="1" applyBorder="1" applyAlignment="1" applyProtection="1">
      <alignment horizontal="center"/>
      <protection locked="0"/>
    </xf>
    <xf numFmtId="170" fontId="0" fillId="4" borderId="12" xfId="0" applyNumberFormat="1" applyFill="1" applyBorder="1" applyAlignment="1" applyProtection="1">
      <alignment horizontal="center"/>
      <protection locked="0"/>
    </xf>
    <xf numFmtId="171" fontId="9" fillId="4" borderId="12" xfId="1" applyNumberFormat="1" applyFont="1" applyFill="1" applyBorder="1" applyAlignment="1" applyProtection="1">
      <alignment horizontal="center"/>
      <protection locked="0"/>
    </xf>
    <xf numFmtId="3" fontId="0" fillId="3" borderId="0" xfId="0" applyNumberFormat="1" applyFill="1" applyBorder="1" applyAlignment="1" applyProtection="1">
      <alignment horizontal="center"/>
    </xf>
    <xf numFmtId="166" fontId="0" fillId="3" borderId="0" xfId="5" applyNumberFormat="1" applyFont="1" applyFill="1" applyBorder="1" applyAlignment="1" applyProtection="1"/>
    <xf numFmtId="165" fontId="9" fillId="3" borderId="11" xfId="5" applyNumberFormat="1" applyFont="1" applyFill="1" applyBorder="1" applyAlignment="1" applyProtection="1">
      <alignment horizontal="right"/>
    </xf>
    <xf numFmtId="0" fontId="21" fillId="0" borderId="0" xfId="6" applyFont="1" applyAlignment="1" applyProtection="1"/>
    <xf numFmtId="170" fontId="9" fillId="4" borderId="1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Protection="1"/>
    <xf numFmtId="3" fontId="0" fillId="4" borderId="12" xfId="0" applyNumberFormat="1" applyFill="1" applyBorder="1" applyAlignment="1" applyProtection="1">
      <alignment horizontal="center"/>
      <protection locked="0"/>
    </xf>
    <xf numFmtId="166" fontId="0" fillId="3" borderId="0" xfId="5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165" fontId="10" fillId="6" borderId="11" xfId="5" applyNumberFormat="1" applyFont="1" applyFill="1" applyBorder="1" applyAlignment="1" applyProtection="1">
      <alignment horizontal="right"/>
    </xf>
    <xf numFmtId="171" fontId="0" fillId="3" borderId="0" xfId="1" applyNumberFormat="1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center" vertical="center" wrapText="1"/>
    </xf>
    <xf numFmtId="169" fontId="9" fillId="3" borderId="11" xfId="5" applyNumberFormat="1" applyFont="1" applyFill="1" applyBorder="1" applyAlignment="1" applyProtection="1">
      <alignment horizontal="center"/>
    </xf>
    <xf numFmtId="0" fontId="19" fillId="3" borderId="0" xfId="0" applyFont="1" applyFill="1" applyBorder="1" applyProtection="1"/>
    <xf numFmtId="2" fontId="9" fillId="2" borderId="16" xfId="4" applyNumberFormat="1" applyFont="1" applyFill="1" applyBorder="1" applyAlignment="1" applyProtection="1">
      <alignment vertical="top"/>
    </xf>
    <xf numFmtId="166" fontId="6" fillId="2" borderId="0" xfId="5" applyNumberFormat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3" fontId="0" fillId="6" borderId="0" xfId="0" applyNumberForma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vertical="top"/>
    </xf>
    <xf numFmtId="0" fontId="0" fillId="3" borderId="0" xfId="0" applyFill="1" applyBorder="1" applyAlignment="1" applyProtection="1">
      <alignment horizontal="right" vertical="center" wrapText="1"/>
    </xf>
    <xf numFmtId="0" fontId="0" fillId="3" borderId="0" xfId="0" applyFill="1" applyBorder="1" applyAlignment="1" applyProtection="1">
      <alignment horizontal="right"/>
    </xf>
    <xf numFmtId="3" fontId="9" fillId="3" borderId="16" xfId="0" applyNumberFormat="1" applyFont="1" applyFill="1" applyBorder="1" applyAlignment="1" applyProtection="1">
      <alignment horizontal="center"/>
    </xf>
    <xf numFmtId="3" fontId="0" fillId="3" borderId="16" xfId="0" applyNumberFormat="1" applyFill="1" applyBorder="1" applyAlignment="1" applyProtection="1">
      <alignment horizontal="center"/>
    </xf>
    <xf numFmtId="166" fontId="0" fillId="3" borderId="0" xfId="0" applyNumberFormat="1" applyFill="1" applyBorder="1" applyAlignment="1" applyProtection="1">
      <alignment horizontal="right"/>
    </xf>
    <xf numFmtId="169" fontId="0" fillId="3" borderId="0" xfId="0" applyNumberFormat="1" applyFill="1" applyBorder="1" applyAlignment="1" applyProtection="1">
      <alignment horizontal="right"/>
    </xf>
    <xf numFmtId="0" fontId="10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0" fillId="7" borderId="0" xfId="0" applyFill="1" applyBorder="1" applyAlignment="1" applyProtection="1">
      <alignment horizontal="center"/>
    </xf>
    <xf numFmtId="3" fontId="0" fillId="7" borderId="0" xfId="0" applyNumberFormat="1" applyFill="1" applyBorder="1" applyAlignment="1" applyProtection="1">
      <alignment horizontal="center"/>
    </xf>
    <xf numFmtId="169" fontId="10" fillId="7" borderId="0" xfId="0" applyNumberFormat="1" applyFont="1" applyFill="1" applyBorder="1" applyAlignment="1" applyProtection="1">
      <alignment horizontal="center"/>
    </xf>
    <xf numFmtId="169" fontId="10" fillId="3" borderId="11" xfId="5" applyNumberFormat="1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right"/>
    </xf>
    <xf numFmtId="0" fontId="10" fillId="3" borderId="0" xfId="0" applyFont="1" applyFill="1" applyBorder="1" applyAlignment="1" applyProtection="1">
      <alignment horizontal="right" wrapText="1"/>
    </xf>
    <xf numFmtId="167" fontId="0" fillId="3" borderId="0" xfId="0" applyNumberFormat="1" applyFill="1" applyBorder="1" applyAlignment="1" applyProtection="1"/>
    <xf numFmtId="9" fontId="0" fillId="3" borderId="0" xfId="3" applyNumberFormat="1" applyFont="1" applyFill="1" applyBorder="1" applyProtection="1"/>
    <xf numFmtId="167" fontId="0" fillId="3" borderId="0" xfId="0" applyNumberFormat="1" applyFill="1" applyBorder="1" applyProtection="1"/>
    <xf numFmtId="0" fontId="9" fillId="3" borderId="20" xfId="0" applyFont="1" applyFill="1" applyBorder="1" applyProtection="1"/>
    <xf numFmtId="0" fontId="0" fillId="3" borderId="20" xfId="0" applyFill="1" applyBorder="1" applyProtection="1"/>
    <xf numFmtId="167" fontId="0" fillId="3" borderId="20" xfId="0" applyNumberFormat="1" applyFill="1" applyBorder="1" applyAlignment="1" applyProtection="1"/>
    <xf numFmtId="167" fontId="10" fillId="3" borderId="0" xfId="0" applyNumberFormat="1" applyFont="1" applyFill="1" applyBorder="1" applyAlignment="1" applyProtection="1"/>
    <xf numFmtId="167" fontId="10" fillId="3" borderId="0" xfId="0" applyNumberFormat="1" applyFont="1" applyFill="1" applyBorder="1" applyProtection="1"/>
    <xf numFmtId="0" fontId="22" fillId="3" borderId="0" xfId="0" applyFont="1" applyFill="1" applyBorder="1" applyProtection="1"/>
    <xf numFmtId="0" fontId="9" fillId="3" borderId="0" xfId="0" applyFont="1" applyFill="1" applyBorder="1" applyAlignment="1" applyProtection="1">
      <alignment horizontal="right"/>
    </xf>
    <xf numFmtId="0" fontId="23" fillId="0" borderId="0" xfId="0" applyFont="1" applyProtection="1"/>
    <xf numFmtId="167" fontId="23" fillId="0" borderId="0" xfId="0" applyNumberFormat="1" applyFont="1" applyProtection="1"/>
    <xf numFmtId="172" fontId="23" fillId="0" borderId="0" xfId="0" applyNumberFormat="1" applyFont="1" applyFill="1" applyProtection="1"/>
    <xf numFmtId="0" fontId="9" fillId="3" borderId="0" xfId="4" applyFont="1" applyFill="1" applyBorder="1" applyProtection="1"/>
    <xf numFmtId="0" fontId="9" fillId="3" borderId="0" xfId="4" applyFill="1" applyBorder="1" applyProtection="1"/>
    <xf numFmtId="167" fontId="9" fillId="3" borderId="0" xfId="0" applyNumberFormat="1" applyFont="1" applyFill="1" applyBorder="1" applyAlignment="1" applyProtection="1"/>
    <xf numFmtId="9" fontId="23" fillId="0" borderId="0" xfId="3" applyFont="1" applyProtection="1"/>
    <xf numFmtId="0" fontId="9" fillId="3" borderId="0" xfId="4" applyFont="1" applyFill="1" applyBorder="1" applyAlignment="1" applyProtection="1">
      <alignment vertical="center"/>
    </xf>
    <xf numFmtId="167" fontId="9" fillId="3" borderId="0" xfId="6" applyNumberFormat="1" applyFont="1" applyFill="1" applyBorder="1" applyAlignment="1" applyProtection="1"/>
    <xf numFmtId="167" fontId="0" fillId="2" borderId="0" xfId="0" applyNumberFormat="1" applyFill="1" applyBorder="1" applyProtection="1"/>
    <xf numFmtId="0" fontId="12" fillId="3" borderId="0" xfId="0" applyFont="1" applyFill="1" applyBorder="1" applyProtection="1"/>
    <xf numFmtId="167" fontId="0" fillId="0" borderId="0" xfId="0" applyNumberFormat="1" applyBorder="1" applyProtection="1"/>
    <xf numFmtId="0" fontId="10" fillId="8" borderId="0" xfId="0" applyFont="1" applyFill="1" applyBorder="1" applyProtection="1"/>
    <xf numFmtId="0" fontId="9" fillId="8" borderId="0" xfId="0" applyFont="1" applyFill="1" applyBorder="1" applyAlignment="1" applyProtection="1">
      <alignment horizontal="right"/>
    </xf>
    <xf numFmtId="167" fontId="10" fillId="8" borderId="0" xfId="0" applyNumberFormat="1" applyFont="1" applyFill="1" applyBorder="1" applyAlignment="1" applyProtection="1"/>
    <xf numFmtId="167" fontId="9" fillId="3" borderId="0" xfId="0" applyNumberFormat="1" applyFont="1" applyFill="1" applyBorder="1" applyProtection="1"/>
    <xf numFmtId="164" fontId="9" fillId="3" borderId="0" xfId="0" applyNumberFormat="1" applyFont="1" applyFill="1" applyBorder="1" applyProtection="1"/>
    <xf numFmtId="167" fontId="10" fillId="6" borderId="0" xfId="0" applyNumberFormat="1" applyFont="1" applyFill="1" applyBorder="1" applyAlignment="1" applyProtection="1"/>
    <xf numFmtId="0" fontId="24" fillId="3" borderId="0" xfId="0" applyFont="1" applyFill="1" applyBorder="1" applyAlignment="1" applyProtection="1">
      <alignment horizontal="left"/>
    </xf>
    <xf numFmtId="0" fontId="25" fillId="3" borderId="0" xfId="0" applyFont="1" applyFill="1" applyBorder="1" applyProtection="1"/>
    <xf numFmtId="166" fontId="0" fillId="0" borderId="0" xfId="2" applyFont="1" applyProtection="1"/>
    <xf numFmtId="166" fontId="0" fillId="0" borderId="0" xfId="0" applyNumberFormat="1" applyProtection="1"/>
    <xf numFmtId="1" fontId="0" fillId="0" borderId="0" xfId="0" applyNumberFormat="1" applyProtection="1"/>
    <xf numFmtId="9" fontId="0" fillId="0" borderId="0" xfId="3" applyFont="1" applyProtection="1"/>
    <xf numFmtId="0" fontId="9" fillId="0" borderId="0" xfId="4" applyProtection="1"/>
    <xf numFmtId="0" fontId="9" fillId="3" borderId="0" xfId="4" applyFill="1" applyProtection="1"/>
    <xf numFmtId="0" fontId="9" fillId="3" borderId="6" xfId="4" applyFill="1" applyBorder="1" applyProtection="1"/>
    <xf numFmtId="0" fontId="9" fillId="3" borderId="7" xfId="4" applyFill="1" applyBorder="1" applyProtection="1"/>
    <xf numFmtId="0" fontId="9" fillId="3" borderId="8" xfId="4" applyFill="1" applyBorder="1" applyProtection="1"/>
    <xf numFmtId="0" fontId="10" fillId="3" borderId="9" xfId="4" applyFont="1" applyFill="1" applyBorder="1" applyAlignment="1" applyProtection="1">
      <alignment horizontal="center"/>
    </xf>
    <xf numFmtId="0" fontId="10" fillId="3" borderId="0" xfId="4" applyFont="1" applyFill="1" applyBorder="1" applyProtection="1"/>
    <xf numFmtId="0" fontId="9" fillId="0" borderId="0" xfId="4" applyBorder="1" applyProtection="1"/>
    <xf numFmtId="1" fontId="10" fillId="2" borderId="0" xfId="4" applyNumberFormat="1" applyFont="1" applyFill="1" applyBorder="1" applyAlignment="1" applyProtection="1">
      <alignment horizontal="right"/>
    </xf>
    <xf numFmtId="1" fontId="9" fillId="4" borderId="10" xfId="4" applyNumberFormat="1" applyFill="1" applyBorder="1" applyProtection="1">
      <protection locked="0"/>
    </xf>
    <xf numFmtId="9" fontId="9" fillId="0" borderId="0" xfId="4" applyNumberFormat="1" applyProtection="1"/>
    <xf numFmtId="0" fontId="9" fillId="3" borderId="9" xfId="4" applyFill="1" applyBorder="1" applyProtection="1"/>
    <xf numFmtId="0" fontId="9" fillId="3" borderId="11" xfId="4" applyFill="1" applyBorder="1" applyProtection="1"/>
    <xf numFmtId="0" fontId="9" fillId="2" borderId="0" xfId="4" applyFill="1" applyBorder="1" applyProtection="1"/>
    <xf numFmtId="1" fontId="9" fillId="2" borderId="0" xfId="4" applyNumberFormat="1" applyFont="1" applyFill="1" applyBorder="1" applyAlignment="1" applyProtection="1">
      <alignment horizontal="left"/>
      <protection locked="0"/>
    </xf>
    <xf numFmtId="1" fontId="10" fillId="2" borderId="0" xfId="4" applyNumberFormat="1" applyFont="1" applyFill="1" applyBorder="1" applyAlignment="1" applyProtection="1">
      <alignment horizontal="right"/>
      <protection locked="0"/>
    </xf>
    <xf numFmtId="1" fontId="9" fillId="4" borderId="10" xfId="4" applyNumberFormat="1" applyFill="1" applyBorder="1" applyAlignment="1" applyProtection="1">
      <protection locked="0"/>
    </xf>
    <xf numFmtId="2" fontId="9" fillId="2" borderId="0" xfId="4" applyNumberFormat="1" applyFont="1" applyFill="1" applyBorder="1" applyAlignment="1" applyProtection="1">
      <alignment horizontal="left"/>
    </xf>
    <xf numFmtId="2" fontId="9" fillId="2" borderId="0" xfId="4" applyNumberFormat="1" applyFill="1" applyBorder="1" applyAlignment="1" applyProtection="1">
      <alignment horizontal="left"/>
    </xf>
    <xf numFmtId="0" fontId="9" fillId="0" borderId="11" xfId="4" applyFill="1" applyBorder="1" applyProtection="1"/>
    <xf numFmtId="0" fontId="9" fillId="3" borderId="0" xfId="4" applyFill="1" applyBorder="1" applyAlignment="1" applyProtection="1">
      <alignment horizontal="center"/>
    </xf>
    <xf numFmtId="0" fontId="9" fillId="3" borderId="0" xfId="4" applyFont="1" applyFill="1" applyBorder="1" applyAlignment="1" applyProtection="1">
      <alignment horizontal="center"/>
    </xf>
    <xf numFmtId="0" fontId="9" fillId="3" borderId="11" xfId="4" applyFill="1" applyBorder="1" applyAlignment="1" applyProtection="1">
      <alignment horizontal="center"/>
    </xf>
    <xf numFmtId="2" fontId="10" fillId="0" borderId="0" xfId="4" applyNumberFormat="1" applyFont="1" applyFill="1" applyBorder="1" applyAlignment="1" applyProtection="1">
      <alignment horizontal="center"/>
    </xf>
    <xf numFmtId="1" fontId="9" fillId="4" borderId="12" xfId="4" applyNumberFormat="1" applyFill="1" applyBorder="1" applyAlignment="1" applyProtection="1">
      <protection locked="0"/>
    </xf>
    <xf numFmtId="174" fontId="9" fillId="4" borderId="12" xfId="4" applyNumberFormat="1" applyFill="1" applyBorder="1" applyAlignment="1" applyProtection="1">
      <protection locked="0"/>
    </xf>
    <xf numFmtId="1" fontId="9" fillId="4" borderId="3" xfId="4" applyNumberFormat="1" applyFill="1" applyBorder="1" applyAlignment="1" applyProtection="1">
      <protection locked="0"/>
    </xf>
    <xf numFmtId="2" fontId="10" fillId="2" borderId="0" xfId="4" applyNumberFormat="1" applyFont="1" applyFill="1" applyBorder="1" applyAlignment="1" applyProtection="1">
      <alignment horizontal="center"/>
    </xf>
    <xf numFmtId="174" fontId="9" fillId="4" borderId="12" xfId="4" applyNumberFormat="1" applyFont="1" applyFill="1" applyBorder="1" applyAlignment="1" applyProtection="1">
      <protection locked="0"/>
    </xf>
    <xf numFmtId="0" fontId="9" fillId="0" borderId="11" xfId="4" applyBorder="1" applyProtection="1"/>
    <xf numFmtId="2" fontId="10" fillId="3" borderId="0" xfId="4" applyNumberFormat="1" applyFont="1" applyFill="1" applyBorder="1" applyAlignment="1" applyProtection="1">
      <alignment horizontal="right"/>
    </xf>
    <xf numFmtId="0" fontId="10" fillId="3" borderId="13" xfId="4" applyFont="1" applyFill="1" applyBorder="1" applyAlignment="1" applyProtection="1">
      <alignment horizontal="center"/>
    </xf>
    <xf numFmtId="0" fontId="10" fillId="3" borderId="5" xfId="4" applyFont="1" applyFill="1" applyBorder="1" applyProtection="1"/>
    <xf numFmtId="0" fontId="9" fillId="3" borderId="5" xfId="4" applyFill="1" applyBorder="1" applyProtection="1"/>
    <xf numFmtId="2" fontId="9" fillId="3" borderId="5" xfId="4" applyNumberFormat="1" applyFill="1" applyBorder="1" applyAlignment="1" applyProtection="1">
      <alignment horizontal="center"/>
    </xf>
    <xf numFmtId="0" fontId="9" fillId="3" borderId="14" xfId="4" applyFill="1" applyBorder="1" applyProtection="1"/>
    <xf numFmtId="0" fontId="13" fillId="3" borderId="0" xfId="4" applyFont="1" applyFill="1" applyProtection="1"/>
    <xf numFmtId="0" fontId="14" fillId="3" borderId="9" xfId="4" applyFont="1" applyFill="1" applyBorder="1" applyAlignment="1" applyProtection="1">
      <alignment horizontal="center"/>
    </xf>
    <xf numFmtId="0" fontId="14" fillId="3" borderId="0" xfId="4" applyFont="1" applyFill="1" applyBorder="1" applyProtection="1"/>
    <xf numFmtId="0" fontId="13" fillId="3" borderId="0" xfId="4" applyFont="1" applyFill="1" applyBorder="1" applyProtection="1"/>
    <xf numFmtId="0" fontId="13" fillId="3" borderId="11" xfId="4" applyFont="1" applyFill="1" applyBorder="1" applyProtection="1"/>
    <xf numFmtId="0" fontId="13" fillId="0" borderId="0" xfId="4" applyFont="1" applyProtection="1"/>
    <xf numFmtId="0" fontId="13" fillId="3" borderId="9" xfId="4" applyFont="1" applyFill="1" applyBorder="1" applyProtection="1"/>
    <xf numFmtId="0" fontId="14" fillId="3" borderId="0" xfId="4" applyFont="1" applyFill="1" applyBorder="1" applyAlignment="1" applyProtection="1">
      <alignment horizontal="center"/>
    </xf>
    <xf numFmtId="0" fontId="13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/>
    </xf>
    <xf numFmtId="0" fontId="13" fillId="0" borderId="0" xfId="4" applyFont="1" applyBorder="1" applyProtection="1"/>
    <xf numFmtId="0" fontId="13" fillId="3" borderId="0" xfId="4" applyFont="1" applyFill="1" applyBorder="1" applyAlignment="1" applyProtection="1">
      <alignment horizontal="right" vertical="center" wrapText="1"/>
    </xf>
    <xf numFmtId="0" fontId="13" fillId="3" borderId="0" xfId="4" applyFont="1" applyFill="1" applyBorder="1" applyAlignment="1" applyProtection="1">
      <alignment horizontal="right" wrapText="1"/>
    </xf>
    <xf numFmtId="0" fontId="16" fillId="3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right"/>
    </xf>
    <xf numFmtId="167" fontId="14" fillId="2" borderId="0" xfId="4" applyNumberFormat="1" applyFont="1" applyFill="1" applyBorder="1" applyProtection="1"/>
    <xf numFmtId="167" fontId="14" fillId="3" borderId="0" xfId="4" applyNumberFormat="1" applyFont="1" applyFill="1" applyBorder="1" applyProtection="1"/>
    <xf numFmtId="9" fontId="13" fillId="3" borderId="0" xfId="7" applyFont="1" applyFill="1" applyBorder="1" applyProtection="1"/>
    <xf numFmtId="164" fontId="14" fillId="3" borderId="0" xfId="8" applyNumberFormat="1" applyFont="1" applyFill="1" applyBorder="1" applyProtection="1"/>
    <xf numFmtId="0" fontId="14" fillId="2" borderId="0" xfId="4" applyFont="1" applyFill="1" applyBorder="1" applyProtection="1"/>
    <xf numFmtId="9" fontId="13" fillId="4" borderId="12" xfId="4" applyNumberFormat="1" applyFont="1" applyFill="1" applyBorder="1" applyAlignment="1" applyProtection="1">
      <protection locked="0"/>
    </xf>
    <xf numFmtId="9" fontId="13" fillId="2" borderId="0" xfId="7" applyFont="1" applyFill="1" applyBorder="1" applyProtection="1">
      <protection locked="0"/>
    </xf>
    <xf numFmtId="164" fontId="13" fillId="3" borderId="0" xfId="8" applyNumberFormat="1" applyFont="1" applyFill="1" applyBorder="1" applyProtection="1"/>
    <xf numFmtId="9" fontId="13" fillId="2" borderId="0" xfId="7" applyFont="1" applyFill="1" applyBorder="1" applyProtection="1"/>
    <xf numFmtId="4" fontId="16" fillId="2" borderId="0" xfId="4" applyNumberFormat="1" applyFont="1" applyFill="1" applyBorder="1" applyAlignment="1" applyProtection="1">
      <alignment horizontal="right"/>
    </xf>
    <xf numFmtId="167" fontId="13" fillId="3" borderId="0" xfId="4" applyNumberFormat="1" applyFont="1" applyFill="1" applyBorder="1" applyProtection="1"/>
    <xf numFmtId="4" fontId="16" fillId="3" borderId="0" xfId="4" applyNumberFormat="1" applyFont="1" applyFill="1" applyBorder="1" applyAlignment="1" applyProtection="1">
      <alignment horizontal="right"/>
    </xf>
    <xf numFmtId="0" fontId="14" fillId="6" borderId="0" xfId="4" applyFont="1" applyFill="1" applyBorder="1" applyProtection="1"/>
    <xf numFmtId="0" fontId="13" fillId="6" borderId="0" xfId="4" applyFont="1" applyFill="1" applyBorder="1" applyProtection="1"/>
    <xf numFmtId="167" fontId="14" fillId="6" borderId="0" xfId="4" applyNumberFormat="1" applyFont="1" applyFill="1" applyBorder="1" applyAlignment="1" applyProtection="1"/>
    <xf numFmtId="4" fontId="16" fillId="6" borderId="0" xfId="4" applyNumberFormat="1" applyFont="1" applyFill="1" applyBorder="1" applyAlignment="1" applyProtection="1">
      <alignment horizontal="right"/>
    </xf>
    <xf numFmtId="167" fontId="14" fillId="6" borderId="0" xfId="4" applyNumberFormat="1" applyFont="1" applyFill="1" applyBorder="1" applyProtection="1"/>
    <xf numFmtId="0" fontId="9" fillId="3" borderId="13" xfId="4" applyFill="1" applyBorder="1" applyProtection="1"/>
    <xf numFmtId="0" fontId="9" fillId="3" borderId="5" xfId="4" applyFont="1" applyFill="1" applyBorder="1" applyProtection="1"/>
    <xf numFmtId="2" fontId="17" fillId="3" borderId="5" xfId="4" applyNumberFormat="1" applyFont="1" applyFill="1" applyBorder="1" applyAlignment="1" applyProtection="1">
      <alignment vertical="top"/>
    </xf>
    <xf numFmtId="0" fontId="18" fillId="0" borderId="0" xfId="4" applyFont="1" applyProtection="1"/>
    <xf numFmtId="2" fontId="17" fillId="3" borderId="0" xfId="4" applyNumberFormat="1" applyFont="1" applyFill="1" applyBorder="1" applyAlignment="1" applyProtection="1">
      <alignment vertical="top"/>
    </xf>
    <xf numFmtId="0" fontId="9" fillId="3" borderId="15" xfId="4" applyFill="1" applyBorder="1" applyProtection="1"/>
    <xf numFmtId="0" fontId="9" fillId="3" borderId="7" xfId="4" applyFont="1" applyFill="1" applyBorder="1" applyProtection="1"/>
    <xf numFmtId="2" fontId="17" fillId="3" borderId="7" xfId="4" applyNumberFormat="1" applyFont="1" applyFill="1" applyBorder="1" applyAlignment="1" applyProtection="1">
      <alignment vertical="top"/>
    </xf>
    <xf numFmtId="0" fontId="9" fillId="3" borderId="0" xfId="4" applyFont="1" applyFill="1" applyBorder="1" applyAlignment="1" applyProtection="1">
      <alignment horizontal="right" wrapText="1"/>
    </xf>
    <xf numFmtId="0" fontId="10" fillId="3" borderId="0" xfId="4" applyFont="1" applyFill="1" applyBorder="1" applyAlignment="1" applyProtection="1">
      <alignment horizontal="center"/>
    </xf>
    <xf numFmtId="0" fontId="15" fillId="3" borderId="0" xfId="4" applyFont="1" applyFill="1" applyBorder="1" applyAlignment="1" applyProtection="1">
      <alignment horizontal="right"/>
    </xf>
    <xf numFmtId="169" fontId="9" fillId="3" borderId="0" xfId="4" applyNumberFormat="1" applyFill="1" applyBorder="1" applyProtection="1"/>
    <xf numFmtId="167" fontId="13" fillId="2" borderId="0" xfId="4" applyNumberFormat="1" applyFont="1" applyFill="1" applyBorder="1" applyAlignment="1" applyProtection="1">
      <protection locked="0"/>
    </xf>
    <xf numFmtId="0" fontId="10" fillId="6" borderId="0" xfId="4" applyFont="1" applyFill="1" applyBorder="1" applyProtection="1"/>
    <xf numFmtId="0" fontId="9" fillId="6" borderId="0" xfId="4" applyFill="1" applyProtection="1"/>
    <xf numFmtId="0" fontId="9" fillId="6" borderId="0" xfId="4" applyFill="1" applyBorder="1" applyProtection="1"/>
    <xf numFmtId="169" fontId="10" fillId="6" borderId="0" xfId="4" applyNumberFormat="1" applyFont="1" applyFill="1" applyBorder="1" applyProtection="1"/>
    <xf numFmtId="0" fontId="28" fillId="3" borderId="0" xfId="4" applyFont="1" applyFill="1" applyBorder="1" applyAlignment="1" applyProtection="1">
      <alignment horizontal="center"/>
    </xf>
    <xf numFmtId="0" fontId="28" fillId="3" borderId="0" xfId="4" applyFont="1" applyFill="1" applyBorder="1" applyProtection="1"/>
    <xf numFmtId="0" fontId="29" fillId="3" borderId="0" xfId="4" applyFont="1" applyFill="1" applyBorder="1" applyProtection="1"/>
    <xf numFmtId="0" fontId="9" fillId="3" borderId="0" xfId="4" applyFill="1" applyAlignment="1" applyProtection="1">
      <alignment horizontal="left"/>
    </xf>
    <xf numFmtId="0" fontId="9" fillId="3" borderId="9" xfId="4" applyFill="1" applyBorder="1" applyAlignment="1" applyProtection="1">
      <alignment horizontal="left"/>
    </xf>
    <xf numFmtId="0" fontId="9" fillId="3" borderId="0" xfId="4" applyFont="1" applyFill="1" applyBorder="1" applyAlignment="1" applyProtection="1">
      <alignment horizontal="left"/>
    </xf>
    <xf numFmtId="0" fontId="30" fillId="3" borderId="0" xfId="4" applyFont="1" applyFill="1" applyBorder="1" applyAlignment="1" applyProtection="1">
      <alignment horizontal="left"/>
    </xf>
    <xf numFmtId="0" fontId="9" fillId="3" borderId="0" xfId="4" applyFill="1" applyBorder="1" applyAlignment="1" applyProtection="1">
      <alignment horizontal="left"/>
    </xf>
    <xf numFmtId="0" fontId="9" fillId="3" borderId="0" xfId="4" applyFont="1" applyFill="1" applyBorder="1" applyAlignment="1" applyProtection="1">
      <alignment horizontal="left" wrapText="1"/>
    </xf>
    <xf numFmtId="0" fontId="9" fillId="3" borderId="11" xfId="4" applyFill="1" applyBorder="1" applyAlignment="1" applyProtection="1">
      <alignment horizontal="left"/>
    </xf>
    <xf numFmtId="0" fontId="9" fillId="0" borderId="0" xfId="4" applyAlignment="1" applyProtection="1">
      <alignment horizontal="left"/>
    </xf>
    <xf numFmtId="0" fontId="9" fillId="3" borderId="0" xfId="4" applyFill="1" applyAlignment="1" applyProtection="1">
      <alignment vertical="center"/>
    </xf>
    <xf numFmtId="0" fontId="9" fillId="3" borderId="9" xfId="4" applyFill="1" applyBorder="1" applyAlignment="1" applyProtection="1">
      <alignment vertical="center"/>
    </xf>
    <xf numFmtId="0" fontId="9" fillId="3" borderId="0" xfId="4" applyFill="1" applyBorder="1" applyAlignment="1" applyProtection="1">
      <alignment vertical="center"/>
    </xf>
    <xf numFmtId="0" fontId="9" fillId="0" borderId="0" xfId="4" applyAlignment="1" applyProtection="1">
      <alignment vertical="center"/>
    </xf>
    <xf numFmtId="0" fontId="10" fillId="2" borderId="0" xfId="4" applyFont="1" applyFill="1" applyBorder="1" applyAlignment="1" applyProtection="1">
      <alignment horizontal="center" vertical="center" wrapText="1"/>
    </xf>
    <xf numFmtId="0" fontId="10" fillId="0" borderId="0" xfId="4" applyFont="1" applyBorder="1" applyAlignment="1" applyProtection="1">
      <alignment vertical="center" wrapText="1"/>
    </xf>
    <xf numFmtId="0" fontId="9" fillId="0" borderId="0" xfId="4" applyBorder="1" applyAlignment="1" applyProtection="1">
      <alignment vertical="center"/>
    </xf>
    <xf numFmtId="0" fontId="10" fillId="3" borderId="11" xfId="4" applyFont="1" applyFill="1" applyBorder="1" applyAlignment="1" applyProtection="1">
      <alignment horizontal="right" vertical="center" wrapText="1"/>
    </xf>
    <xf numFmtId="0" fontId="9" fillId="2" borderId="0" xfId="4" applyFill="1" applyBorder="1" applyAlignment="1" applyProtection="1">
      <alignment horizontal="center"/>
    </xf>
    <xf numFmtId="4" fontId="9" fillId="4" borderId="12" xfId="4" applyNumberFormat="1" applyFill="1" applyBorder="1" applyAlignment="1" applyProtection="1">
      <alignment horizontal="center"/>
      <protection locked="0"/>
    </xf>
    <xf numFmtId="3" fontId="9" fillId="3" borderId="0" xfId="4" applyNumberFormat="1" applyFill="1" applyBorder="1" applyAlignment="1" applyProtection="1">
      <alignment horizontal="center"/>
    </xf>
    <xf numFmtId="169" fontId="9" fillId="0" borderId="0" xfId="4" applyNumberFormat="1" applyProtection="1"/>
    <xf numFmtId="0" fontId="12" fillId="0" borderId="0" xfId="4" applyFont="1" applyProtection="1"/>
    <xf numFmtId="0" fontId="9" fillId="2" borderId="0" xfId="4" applyFont="1" applyFill="1" applyBorder="1" applyAlignment="1" applyProtection="1">
      <alignment horizontal="center" vertical="center" wrapText="1"/>
    </xf>
    <xf numFmtId="3" fontId="9" fillId="2" borderId="0" xfId="4" applyNumberFormat="1" applyFill="1" applyBorder="1" applyAlignment="1" applyProtection="1">
      <alignment horizontal="center"/>
    </xf>
    <xf numFmtId="0" fontId="30" fillId="3" borderId="0" xfId="4" applyFont="1" applyFill="1" applyBorder="1" applyProtection="1"/>
    <xf numFmtId="3" fontId="9" fillId="4" borderId="12" xfId="4" applyNumberFormat="1" applyFill="1" applyBorder="1" applyAlignment="1" applyProtection="1">
      <alignment horizontal="center"/>
      <protection locked="0"/>
    </xf>
    <xf numFmtId="165" fontId="10" fillId="2" borderId="11" xfId="5" applyNumberFormat="1" applyFont="1" applyFill="1" applyBorder="1" applyAlignment="1" applyProtection="1">
      <alignment horizontal="right"/>
    </xf>
    <xf numFmtId="0" fontId="9" fillId="6" borderId="0" xfId="4" applyFill="1" applyBorder="1" applyAlignment="1" applyProtection="1">
      <alignment horizontal="center"/>
    </xf>
    <xf numFmtId="3" fontId="9" fillId="6" borderId="0" xfId="4" applyNumberFormat="1" applyFill="1" applyBorder="1" applyAlignment="1" applyProtection="1">
      <alignment horizontal="center"/>
    </xf>
    <xf numFmtId="0" fontId="9" fillId="3" borderId="0" xfId="4" applyFill="1" applyBorder="1" applyAlignment="1" applyProtection="1">
      <alignment horizontal="center" wrapText="1"/>
    </xf>
    <xf numFmtId="0" fontId="9" fillId="3" borderId="0" xfId="4" applyFont="1" applyFill="1" applyBorder="1" applyAlignment="1" applyProtection="1">
      <alignment vertical="top"/>
    </xf>
    <xf numFmtId="0" fontId="9" fillId="3" borderId="0" xfId="4" applyFill="1" applyBorder="1" applyAlignment="1" applyProtection="1">
      <alignment horizontal="right" vertical="center" wrapText="1"/>
    </xf>
    <xf numFmtId="0" fontId="9" fillId="3" borderId="0" xfId="4" applyFill="1" applyBorder="1" applyAlignment="1" applyProtection="1">
      <alignment horizontal="right"/>
    </xf>
    <xf numFmtId="3" fontId="9" fillId="3" borderId="16" xfId="4" applyNumberFormat="1" applyFont="1" applyFill="1" applyBorder="1" applyAlignment="1" applyProtection="1">
      <alignment horizontal="center"/>
    </xf>
    <xf numFmtId="3" fontId="9" fillId="3" borderId="16" xfId="4" applyNumberFormat="1" applyFill="1" applyBorder="1" applyAlignment="1" applyProtection="1">
      <alignment horizontal="center"/>
    </xf>
    <xf numFmtId="166" fontId="9" fillId="3" borderId="0" xfId="4" applyNumberFormat="1" applyFill="1" applyBorder="1" applyAlignment="1" applyProtection="1">
      <alignment horizontal="right"/>
    </xf>
    <xf numFmtId="169" fontId="9" fillId="3" borderId="0" xfId="4" applyNumberFormat="1" applyFill="1" applyBorder="1" applyAlignment="1" applyProtection="1">
      <alignment horizontal="right"/>
    </xf>
    <xf numFmtId="0" fontId="10" fillId="7" borderId="0" xfId="4" applyFont="1" applyFill="1" applyBorder="1" applyProtection="1"/>
    <xf numFmtId="0" fontId="9" fillId="7" borderId="0" xfId="4" applyFill="1" applyProtection="1"/>
    <xf numFmtId="0" fontId="9" fillId="7" borderId="0" xfId="4" applyFill="1" applyBorder="1" applyProtection="1"/>
    <xf numFmtId="0" fontId="9" fillId="7" borderId="0" xfId="4" applyFill="1" applyBorder="1" applyAlignment="1" applyProtection="1">
      <alignment horizontal="center"/>
    </xf>
    <xf numFmtId="3" fontId="9" fillId="7" borderId="0" xfId="4" applyNumberFormat="1" applyFill="1" applyBorder="1" applyAlignment="1" applyProtection="1">
      <alignment horizontal="center"/>
    </xf>
    <xf numFmtId="169" fontId="10" fillId="7" borderId="0" xfId="4" applyNumberFormat="1" applyFont="1" applyFill="1" applyBorder="1" applyAlignment="1" applyProtection="1">
      <alignment horizontal="center"/>
    </xf>
    <xf numFmtId="0" fontId="24" fillId="3" borderId="0" xfId="4" applyFont="1" applyFill="1" applyBorder="1" applyAlignment="1" applyProtection="1">
      <alignment horizontal="left"/>
    </xf>
    <xf numFmtId="0" fontId="25" fillId="3" borderId="0" xfId="4" applyFont="1" applyFill="1" applyBorder="1" applyProtection="1"/>
    <xf numFmtId="0" fontId="9" fillId="3" borderId="0" xfId="4" applyFont="1" applyFill="1" applyBorder="1" applyAlignment="1" applyProtection="1">
      <alignment horizontal="right"/>
    </xf>
    <xf numFmtId="0" fontId="9" fillId="0" borderId="0" xfId="4" applyFont="1" applyProtection="1"/>
    <xf numFmtId="166" fontId="0" fillId="0" borderId="0" xfId="10" applyFont="1" applyProtection="1"/>
    <xf numFmtId="166" fontId="9" fillId="0" borderId="0" xfId="4" applyNumberFormat="1" applyProtection="1"/>
    <xf numFmtId="1" fontId="9" fillId="0" borderId="0" xfId="4" applyNumberFormat="1" applyProtection="1"/>
    <xf numFmtId="9" fontId="0" fillId="0" borderId="0" xfId="7" applyFont="1" applyProtection="1"/>
    <xf numFmtId="0" fontId="7" fillId="0" borderId="0" xfId="0" applyFont="1" applyAlignment="1" applyProtection="1"/>
    <xf numFmtId="0" fontId="0" fillId="0" borderId="0" xfId="0" applyAlignment="1" applyProtection="1">
      <alignment horizontal="center"/>
    </xf>
    <xf numFmtId="0" fontId="0" fillId="0" borderId="21" xfId="0" applyBorder="1"/>
    <xf numFmtId="0" fontId="0" fillId="0" borderId="4" xfId="0" applyBorder="1"/>
    <xf numFmtId="0" fontId="0" fillId="0" borderId="22" xfId="0" applyBorder="1"/>
    <xf numFmtId="0" fontId="10" fillId="3" borderId="23" xfId="0" applyFont="1" applyFill="1" applyBorder="1" applyAlignment="1" applyProtection="1">
      <alignment horizontal="center"/>
    </xf>
    <xf numFmtId="0" fontId="0" fillId="2" borderId="24" xfId="0" applyFill="1" applyBorder="1" applyProtection="1"/>
    <xf numFmtId="0" fontId="0" fillId="3" borderId="23" xfId="0" applyFill="1" applyBorder="1" applyProtection="1"/>
    <xf numFmtId="1" fontId="9" fillId="4" borderId="12" xfId="0" applyNumberFormat="1" applyFont="1" applyFill="1" applyBorder="1" applyAlignment="1" applyProtection="1">
      <protection locked="0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Protection="1"/>
    <xf numFmtId="0" fontId="0" fillId="3" borderId="26" xfId="0" applyFill="1" applyBorder="1" applyProtection="1"/>
    <xf numFmtId="2" fontId="9" fillId="2" borderId="26" xfId="0" applyNumberFormat="1" applyFont="1" applyFill="1" applyBorder="1" applyAlignment="1" applyProtection="1">
      <alignment horizontal="left"/>
    </xf>
    <xf numFmtId="2" fontId="0" fillId="2" borderId="26" xfId="0" applyNumberFormat="1" applyFill="1" applyBorder="1" applyAlignment="1" applyProtection="1">
      <alignment horizontal="left"/>
    </xf>
    <xf numFmtId="0" fontId="0" fillId="0" borderId="27" xfId="0" applyBorder="1" applyProtection="1"/>
    <xf numFmtId="0" fontId="10" fillId="3" borderId="0" xfId="0" applyFont="1" applyFill="1" applyBorder="1" applyAlignment="1" applyProtection="1">
      <alignment horizontal="left"/>
    </xf>
    <xf numFmtId="0" fontId="9" fillId="3" borderId="21" xfId="0" applyFont="1" applyFill="1" applyBorder="1" applyProtection="1"/>
    <xf numFmtId="0" fontId="10" fillId="3" borderId="4" xfId="0" applyFont="1" applyFill="1" applyBorder="1" applyAlignment="1" applyProtection="1">
      <alignment horizontal="left"/>
    </xf>
    <xf numFmtId="0" fontId="10" fillId="3" borderId="4" xfId="0" applyFont="1" applyFill="1" applyBorder="1" applyProtection="1"/>
    <xf numFmtId="0" fontId="9" fillId="3" borderId="4" xfId="0" applyFont="1" applyFill="1" applyBorder="1" applyProtection="1"/>
    <xf numFmtId="2" fontId="17" fillId="3" borderId="4" xfId="0" applyNumberFormat="1" applyFont="1" applyFill="1" applyBorder="1" applyAlignment="1" applyProtection="1">
      <alignment vertical="top"/>
    </xf>
    <xf numFmtId="0" fontId="9" fillId="3" borderId="4" xfId="0" applyFont="1" applyFill="1" applyBorder="1" applyAlignment="1" applyProtection="1">
      <alignment horizontal="right" wrapText="1"/>
    </xf>
    <xf numFmtId="0" fontId="0" fillId="2" borderId="4" xfId="0" applyFill="1" applyBorder="1" applyProtection="1"/>
    <xf numFmtId="0" fontId="0" fillId="2" borderId="22" xfId="0" applyFill="1" applyBorder="1" applyProtection="1"/>
    <xf numFmtId="0" fontId="10" fillId="3" borderId="23" xfId="0" applyFont="1" applyFill="1" applyBorder="1" applyProtection="1"/>
    <xf numFmtId="0" fontId="9" fillId="3" borderId="23" xfId="0" applyFont="1" applyFill="1" applyBorder="1" applyProtection="1"/>
    <xf numFmtId="167" fontId="0" fillId="4" borderId="12" xfId="0" applyNumberFormat="1" applyFill="1" applyBorder="1" applyProtection="1">
      <protection locked="0"/>
    </xf>
    <xf numFmtId="9" fontId="9" fillId="2" borderId="0" xfId="3" applyFont="1" applyFill="1" applyBorder="1" applyProtection="1">
      <protection locked="0"/>
    </xf>
    <xf numFmtId="3" fontId="0" fillId="4" borderId="12" xfId="0" applyNumberFormat="1" applyFill="1" applyBorder="1" applyProtection="1">
      <protection locked="0"/>
    </xf>
    <xf numFmtId="2" fontId="17" fillId="6" borderId="0" xfId="0" applyNumberFormat="1" applyFont="1" applyFill="1" applyBorder="1" applyAlignment="1" applyProtection="1">
      <alignment vertical="top"/>
    </xf>
    <xf numFmtId="0" fontId="0" fillId="0" borderId="0" xfId="0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0" xfId="0" applyFill="1" applyBorder="1"/>
    <xf numFmtId="0" fontId="33" fillId="9" borderId="21" xfId="0" applyFont="1" applyFill="1" applyBorder="1"/>
    <xf numFmtId="0" fontId="23" fillId="9" borderId="4" xfId="0" applyFont="1" applyFill="1" applyBorder="1"/>
    <xf numFmtId="0" fontId="23" fillId="9" borderId="22" xfId="0" applyFont="1" applyFill="1" applyBorder="1"/>
    <xf numFmtId="0" fontId="23" fillId="9" borderId="23" xfId="0" applyFont="1" applyFill="1" applyBorder="1"/>
    <xf numFmtId="0" fontId="23" fillId="9" borderId="0" xfId="0" applyFont="1" applyFill="1" applyBorder="1"/>
    <xf numFmtId="0" fontId="23" fillId="9" borderId="24" xfId="0" applyFont="1" applyFill="1" applyBorder="1"/>
    <xf numFmtId="0" fontId="38" fillId="9" borderId="23" xfId="0" applyFont="1" applyFill="1" applyBorder="1"/>
    <xf numFmtId="0" fontId="38" fillId="9" borderId="0" xfId="0" applyFont="1" applyFill="1" applyBorder="1"/>
    <xf numFmtId="0" fontId="38" fillId="9" borderId="24" xfId="0" applyFont="1" applyFill="1" applyBorder="1"/>
    <xf numFmtId="0" fontId="23" fillId="9" borderId="25" xfId="0" applyFont="1" applyFill="1" applyBorder="1"/>
    <xf numFmtId="0" fontId="23" fillId="9" borderId="26" xfId="0" applyFont="1" applyFill="1" applyBorder="1"/>
    <xf numFmtId="0" fontId="23" fillId="9" borderId="27" xfId="0" applyFont="1" applyFill="1" applyBorder="1"/>
    <xf numFmtId="0" fontId="23" fillId="2" borderId="0" xfId="0" applyFont="1" applyFill="1" applyBorder="1"/>
    <xf numFmtId="0" fontId="0" fillId="2" borderId="0" xfId="0" applyFill="1"/>
    <xf numFmtId="0" fontId="28" fillId="2" borderId="0" xfId="0" applyFont="1" applyFill="1" applyBorder="1"/>
    <xf numFmtId="0" fontId="9" fillId="2" borderId="0" xfId="0" applyFont="1" applyFill="1" applyBorder="1"/>
    <xf numFmtId="0" fontId="10" fillId="0" borderId="28" xfId="0" applyFont="1" applyBorder="1" applyAlignment="1" applyProtection="1">
      <alignment horizontal="left" vertical="center" wrapText="1"/>
    </xf>
    <xf numFmtId="0" fontId="10" fillId="0" borderId="29" xfId="0" applyFont="1" applyBorder="1" applyAlignment="1" applyProtection="1">
      <alignment horizontal="right" vertical="center" wrapText="1"/>
    </xf>
    <xf numFmtId="0" fontId="10" fillId="0" borderId="0" xfId="0" applyFont="1" applyBorder="1" applyAlignment="1" applyProtection="1">
      <alignment horizontal="right" vertical="center" wrapText="1"/>
    </xf>
    <xf numFmtId="0" fontId="10" fillId="10" borderId="28" xfId="0" applyFont="1" applyFill="1" applyBorder="1" applyAlignment="1" applyProtection="1">
      <alignment horizontal="right" vertical="center" wrapText="1"/>
    </xf>
    <xf numFmtId="0" fontId="10" fillId="10" borderId="30" xfId="0" applyFont="1" applyFill="1" applyBorder="1" applyAlignment="1" applyProtection="1">
      <alignment horizontal="right" vertical="center" wrapText="1"/>
    </xf>
    <xf numFmtId="0" fontId="10" fillId="0" borderId="31" xfId="0" applyFont="1" applyBorder="1" applyAlignment="1" applyProtection="1">
      <alignment horizontal="right" vertical="center" wrapText="1"/>
    </xf>
    <xf numFmtId="0" fontId="10" fillId="0" borderId="28" xfId="0" applyFont="1" applyBorder="1" applyAlignment="1" applyProtection="1">
      <alignment horizontal="right" vertical="center" wrapText="1"/>
    </xf>
    <xf numFmtId="0" fontId="0" fillId="0" borderId="29" xfId="0" applyBorder="1" applyProtection="1"/>
    <xf numFmtId="0" fontId="0" fillId="0" borderId="30" xfId="0" applyBorder="1" applyProtection="1"/>
    <xf numFmtId="0" fontId="10" fillId="0" borderId="32" xfId="0" applyFont="1" applyBorder="1" applyAlignment="1" applyProtection="1">
      <alignment horizontal="left" vertical="center" wrapText="1"/>
    </xf>
    <xf numFmtId="168" fontId="9" fillId="0" borderId="0" xfId="1" applyFont="1" applyFill="1" applyBorder="1" applyProtection="1"/>
    <xf numFmtId="166" fontId="3" fillId="10" borderId="0" xfId="0" applyNumberFormat="1" applyFont="1" applyFill="1" applyBorder="1"/>
    <xf numFmtId="166" fontId="0" fillId="0" borderId="0" xfId="0" applyNumberFormat="1" applyBorder="1"/>
    <xf numFmtId="0" fontId="0" fillId="10" borderId="34" xfId="0" applyFill="1" applyBorder="1" applyProtection="1"/>
    <xf numFmtId="9" fontId="0" fillId="0" borderId="35" xfId="0" applyNumberFormat="1" applyFill="1" applyBorder="1" applyProtection="1"/>
    <xf numFmtId="0" fontId="0" fillId="0" borderId="0" xfId="0" applyFill="1" applyProtection="1"/>
    <xf numFmtId="0" fontId="0" fillId="0" borderId="32" xfId="0" applyFill="1" applyBorder="1" applyProtection="1"/>
    <xf numFmtId="10" fontId="42" fillId="10" borderId="0" xfId="0" applyNumberFormat="1" applyFont="1" applyFill="1" applyBorder="1" applyProtection="1"/>
    <xf numFmtId="0" fontId="0" fillId="0" borderId="0" xfId="0" applyFill="1" applyBorder="1" applyProtection="1"/>
    <xf numFmtId="0" fontId="0" fillId="0" borderId="36" xfId="0" applyFill="1" applyBorder="1" applyProtection="1"/>
    <xf numFmtId="166" fontId="43" fillId="11" borderId="0" xfId="11" applyNumberFormat="1" applyFont="1" applyFill="1"/>
    <xf numFmtId="175" fontId="0" fillId="0" borderId="0" xfId="0" applyNumberFormat="1" applyFill="1" applyProtection="1"/>
    <xf numFmtId="9" fontId="0" fillId="0" borderId="37" xfId="0" applyNumberFormat="1" applyFill="1" applyBorder="1" applyProtection="1"/>
    <xf numFmtId="0" fontId="0" fillId="0" borderId="38" xfId="0" applyFill="1" applyBorder="1" applyProtection="1"/>
    <xf numFmtId="10" fontId="42" fillId="10" borderId="33" xfId="0" applyNumberFormat="1" applyFont="1" applyFill="1" applyBorder="1" applyProtection="1"/>
    <xf numFmtId="0" fontId="0" fillId="0" borderId="33" xfId="0" applyFill="1" applyBorder="1" applyProtection="1"/>
    <xf numFmtId="0" fontId="0" fillId="0" borderId="34" xfId="0" applyFill="1" applyBorder="1" applyProtection="1"/>
    <xf numFmtId="0" fontId="10" fillId="0" borderId="28" xfId="4" applyFont="1" applyBorder="1" applyAlignment="1" applyProtection="1">
      <alignment horizontal="right" vertical="center" wrapText="1"/>
    </xf>
    <xf numFmtId="0" fontId="9" fillId="0" borderId="29" xfId="4" applyBorder="1" applyProtection="1"/>
    <xf numFmtId="0" fontId="9" fillId="0" borderId="30" xfId="4" applyBorder="1" applyProtection="1"/>
    <xf numFmtId="0" fontId="9" fillId="0" borderId="32" xfId="4" applyFill="1" applyBorder="1" applyProtection="1"/>
    <xf numFmtId="10" fontId="42" fillId="10" borderId="0" xfId="4" applyNumberFormat="1" applyFont="1" applyFill="1" applyBorder="1" applyProtection="1"/>
    <xf numFmtId="10" fontId="9" fillId="10" borderId="0" xfId="4" applyNumberFormat="1" applyFill="1" applyBorder="1" applyProtection="1"/>
    <xf numFmtId="10" fontId="9" fillId="10" borderId="36" xfId="12" applyNumberFormat="1" applyFont="1" applyFill="1" applyBorder="1" applyProtection="1"/>
    <xf numFmtId="0" fontId="0" fillId="0" borderId="28" xfId="0" applyBorder="1" applyAlignment="1" applyProtection="1">
      <alignment horizontal="right"/>
    </xf>
    <xf numFmtId="0" fontId="9" fillId="0" borderId="30" xfId="0" applyFont="1" applyBorder="1" applyProtection="1"/>
    <xf numFmtId="0" fontId="0" fillId="0" borderId="32" xfId="0" applyBorder="1" applyProtection="1"/>
    <xf numFmtId="0" fontId="9" fillId="0" borderId="0" xfId="0" applyFont="1" applyBorder="1" applyProtection="1"/>
    <xf numFmtId="0" fontId="0" fillId="0" borderId="36" xfId="0" applyBorder="1" applyProtection="1"/>
    <xf numFmtId="0" fontId="9" fillId="0" borderId="38" xfId="4" applyFill="1" applyBorder="1" applyProtection="1"/>
    <xf numFmtId="10" fontId="42" fillId="10" borderId="33" xfId="4" applyNumberFormat="1" applyFont="1" applyFill="1" applyBorder="1" applyProtection="1"/>
    <xf numFmtId="10" fontId="9" fillId="10" borderId="33" xfId="4" applyNumberFormat="1" applyFill="1" applyBorder="1" applyProtection="1"/>
    <xf numFmtId="10" fontId="9" fillId="10" borderId="34" xfId="12" applyNumberFormat="1" applyFont="1" applyFill="1" applyBorder="1" applyProtection="1"/>
    <xf numFmtId="0" fontId="10" fillId="0" borderId="28" xfId="0" applyFont="1" applyBorder="1" applyProtection="1"/>
    <xf numFmtId="4" fontId="0" fillId="0" borderId="32" xfId="0" applyNumberFormat="1" applyBorder="1" applyProtection="1"/>
    <xf numFmtId="166" fontId="1" fillId="11" borderId="0" xfId="11" applyNumberFormat="1" applyFill="1" applyBorder="1"/>
    <xf numFmtId="176" fontId="0" fillId="0" borderId="0" xfId="0" applyNumberFormat="1" applyFill="1" applyBorder="1"/>
    <xf numFmtId="4" fontId="0" fillId="0" borderId="38" xfId="0" applyNumberFormat="1" applyBorder="1" applyProtection="1"/>
    <xf numFmtId="0" fontId="0" fillId="0" borderId="33" xfId="0" applyBorder="1" applyProtection="1"/>
    <xf numFmtId="0" fontId="0" fillId="0" borderId="34" xfId="0" applyBorder="1" applyProtection="1"/>
    <xf numFmtId="0" fontId="10" fillId="0" borderId="0" xfId="0" applyFont="1" applyProtection="1"/>
    <xf numFmtId="0" fontId="10" fillId="0" borderId="28" xfId="4" applyFont="1" applyBorder="1"/>
    <xf numFmtId="4" fontId="10" fillId="2" borderId="31" xfId="4" applyNumberFormat="1" applyFont="1" applyFill="1" applyBorder="1" applyAlignment="1">
      <alignment horizontal="center"/>
    </xf>
    <xf numFmtId="0" fontId="10" fillId="0" borderId="32" xfId="4" applyFont="1" applyBorder="1"/>
    <xf numFmtId="4" fontId="10" fillId="2" borderId="35" xfId="4" applyNumberFormat="1" applyFont="1" applyFill="1" applyBorder="1" applyAlignment="1">
      <alignment horizontal="center"/>
    </xf>
    <xf numFmtId="0" fontId="10" fillId="0" borderId="38" xfId="4" applyFont="1" applyBorder="1"/>
    <xf numFmtId="4" fontId="10" fillId="2" borderId="37" xfId="4" applyNumberFormat="1" applyFont="1" applyFill="1" applyBorder="1" applyAlignment="1">
      <alignment horizontal="center"/>
    </xf>
    <xf numFmtId="166" fontId="0" fillId="11" borderId="0" xfId="0" applyNumberFormat="1" applyFill="1" applyBorder="1"/>
    <xf numFmtId="0" fontId="9" fillId="0" borderId="32" xfId="0" applyFont="1" applyFill="1" applyBorder="1" applyProtection="1"/>
    <xf numFmtId="166" fontId="4" fillId="0" borderId="0" xfId="0" applyNumberFormat="1" applyFont="1" applyBorder="1"/>
    <xf numFmtId="2" fontId="0" fillId="0" borderId="0" xfId="0" applyNumberFormat="1" applyProtection="1"/>
    <xf numFmtId="176" fontId="0" fillId="0" borderId="0" xfId="0" applyNumberFormat="1" applyProtection="1"/>
    <xf numFmtId="0" fontId="0" fillId="0" borderId="38" xfId="0" applyBorder="1" applyProtection="1"/>
    <xf numFmtId="0" fontId="0" fillId="0" borderId="32" xfId="0" applyFont="1" applyBorder="1" applyProtection="1"/>
    <xf numFmtId="176" fontId="9" fillId="10" borderId="0" xfId="0" applyNumberFormat="1" applyFont="1" applyFill="1" applyBorder="1" applyProtection="1"/>
    <xf numFmtId="176" fontId="0" fillId="10" borderId="0" xfId="0" applyNumberFormat="1" applyFill="1" applyBorder="1"/>
    <xf numFmtId="0" fontId="0" fillId="0" borderId="38" xfId="0" applyFont="1" applyBorder="1" applyProtection="1"/>
    <xf numFmtId="168" fontId="9" fillId="0" borderId="33" xfId="1" applyFont="1" applyFill="1" applyBorder="1" applyProtection="1"/>
    <xf numFmtId="0" fontId="10" fillId="0" borderId="28" xfId="0" applyFont="1" applyBorder="1" applyAlignment="1" applyProtection="1">
      <alignment horizontal="left" vertical="center"/>
    </xf>
    <xf numFmtId="168" fontId="0" fillId="0" borderId="0" xfId="0" applyNumberFormat="1" applyProtection="1"/>
    <xf numFmtId="176" fontId="9" fillId="0" borderId="32" xfId="0" applyNumberFormat="1" applyFont="1" applyBorder="1"/>
    <xf numFmtId="176" fontId="9" fillId="0" borderId="0" xfId="0" applyNumberFormat="1" applyFont="1" applyBorder="1"/>
    <xf numFmtId="9" fontId="0" fillId="0" borderId="0" xfId="7" applyFont="1" applyBorder="1" applyProtection="1"/>
    <xf numFmtId="49" fontId="9" fillId="0" borderId="39" xfId="4" applyNumberFormat="1" applyBorder="1"/>
    <xf numFmtId="176" fontId="9" fillId="10" borderId="1" xfId="4" applyNumberFormat="1" applyFill="1" applyBorder="1"/>
    <xf numFmtId="49" fontId="9" fillId="0" borderId="40" xfId="4" applyNumberFormat="1" applyFont="1" applyBorder="1"/>
    <xf numFmtId="176" fontId="9" fillId="10" borderId="41" xfId="4" applyNumberFormat="1" applyFill="1" applyBorder="1"/>
    <xf numFmtId="9" fontId="0" fillId="0" borderId="0" xfId="13" applyFont="1" applyBorder="1" applyProtection="1"/>
    <xf numFmtId="0" fontId="1" fillId="2" borderId="21" xfId="14" applyFill="1" applyBorder="1"/>
    <xf numFmtId="0" fontId="1" fillId="2" borderId="4" xfId="14" applyFill="1" applyBorder="1"/>
    <xf numFmtId="0" fontId="1" fillId="2" borderId="22" xfId="14" applyFill="1" applyBorder="1"/>
    <xf numFmtId="0" fontId="1" fillId="2" borderId="0" xfId="14" applyFill="1"/>
    <xf numFmtId="0" fontId="1" fillId="0" borderId="0" xfId="14"/>
    <xf numFmtId="0" fontId="1" fillId="2" borderId="23" xfId="14" applyFill="1" applyBorder="1"/>
    <xf numFmtId="0" fontId="44" fillId="2" borderId="0" xfId="14" applyFont="1" applyFill="1" applyBorder="1"/>
    <xf numFmtId="0" fontId="1" fillId="2" borderId="0" xfId="14" applyFill="1" applyBorder="1"/>
    <xf numFmtId="0" fontId="1" fillId="2" borderId="24" xfId="14" applyFill="1" applyBorder="1"/>
    <xf numFmtId="0" fontId="43" fillId="2" borderId="0" xfId="14" applyFont="1" applyFill="1"/>
    <xf numFmtId="0" fontId="4" fillId="2" borderId="0" xfId="14" applyFont="1" applyFill="1" applyBorder="1"/>
    <xf numFmtId="0" fontId="1" fillId="0" borderId="0" xfId="14" applyBorder="1"/>
    <xf numFmtId="0" fontId="45" fillId="2" borderId="0" xfId="14" applyFont="1" applyFill="1"/>
    <xf numFmtId="1" fontId="45" fillId="2" borderId="0" xfId="14" applyNumberFormat="1" applyFont="1" applyFill="1"/>
    <xf numFmtId="0" fontId="43" fillId="0" borderId="0" xfId="14" applyFont="1"/>
    <xf numFmtId="0" fontId="46" fillId="2" borderId="0" xfId="14" applyFont="1" applyFill="1" applyBorder="1"/>
    <xf numFmtId="9" fontId="43" fillId="2" borderId="0" xfId="15" applyFont="1" applyFill="1" applyBorder="1" applyAlignment="1">
      <alignment horizontal="center"/>
    </xf>
    <xf numFmtId="0" fontId="1" fillId="2" borderId="0" xfId="14" applyFill="1" applyBorder="1" applyAlignment="1">
      <alignment horizontal="left"/>
    </xf>
    <xf numFmtId="9" fontId="1" fillId="2" borderId="0" xfId="14" applyNumberFormat="1" applyFill="1" applyBorder="1" applyAlignment="1"/>
    <xf numFmtId="0" fontId="4" fillId="0" borderId="25" xfId="14" applyFont="1" applyBorder="1" applyAlignment="1">
      <alignment wrapText="1"/>
    </xf>
    <xf numFmtId="0" fontId="4" fillId="0" borderId="27" xfId="14" applyFont="1" applyBorder="1" applyAlignment="1">
      <alignment wrapText="1"/>
    </xf>
    <xf numFmtId="4" fontId="1" fillId="10" borderId="12" xfId="14" applyNumberFormat="1" applyFill="1" applyBorder="1" applyAlignment="1">
      <alignment horizontal="center"/>
    </xf>
    <xf numFmtId="0" fontId="1" fillId="12" borderId="23" xfId="14" applyFill="1" applyBorder="1" applyAlignment="1">
      <alignment horizontal="center"/>
    </xf>
    <xf numFmtId="0" fontId="1" fillId="12" borderId="24" xfId="14" applyFill="1" applyBorder="1" applyAlignment="1">
      <alignment horizontal="center"/>
    </xf>
    <xf numFmtId="0" fontId="1" fillId="13" borderId="23" xfId="14" applyFill="1" applyBorder="1" applyAlignment="1">
      <alignment horizontal="center"/>
    </xf>
    <xf numFmtId="0" fontId="1" fillId="13" borderId="24" xfId="14" applyFill="1" applyBorder="1" applyAlignment="1">
      <alignment horizontal="center"/>
    </xf>
    <xf numFmtId="0" fontId="4" fillId="2" borderId="44" xfId="14" applyFont="1" applyFill="1" applyBorder="1" applyAlignment="1">
      <alignment horizontal="center"/>
    </xf>
    <xf numFmtId="0" fontId="19" fillId="2" borderId="0" xfId="4" applyFont="1" applyFill="1" applyBorder="1" applyAlignment="1" applyProtection="1">
      <alignment horizontal="left"/>
    </xf>
    <xf numFmtId="0" fontId="1" fillId="2" borderId="31" xfId="14" applyFill="1" applyBorder="1"/>
    <xf numFmtId="0" fontId="9" fillId="2" borderId="0" xfId="4" applyFont="1" applyFill="1" applyBorder="1" applyAlignment="1" applyProtection="1">
      <alignment vertical="center"/>
    </xf>
    <xf numFmtId="0" fontId="9" fillId="2" borderId="0" xfId="4" applyFill="1" applyBorder="1" applyAlignment="1" applyProtection="1">
      <alignment vertical="center"/>
    </xf>
    <xf numFmtId="0" fontId="1" fillId="2" borderId="48" xfId="14" applyFill="1" applyBorder="1"/>
    <xf numFmtId="0" fontId="9" fillId="2" borderId="0" xfId="4" applyFont="1" applyFill="1" applyBorder="1" applyProtection="1"/>
    <xf numFmtId="2" fontId="9" fillId="2" borderId="0" xfId="4" applyNumberFormat="1" applyFont="1" applyFill="1" applyBorder="1" applyAlignment="1" applyProtection="1">
      <alignment vertical="top"/>
    </xf>
    <xf numFmtId="4" fontId="9" fillId="10" borderId="39" xfId="4" applyNumberFormat="1" applyFill="1" applyBorder="1" applyAlignment="1" applyProtection="1">
      <alignment horizontal="center"/>
      <protection locked="0"/>
    </xf>
    <xf numFmtId="170" fontId="9" fillId="10" borderId="12" xfId="4" applyNumberFormat="1" applyFill="1" applyBorder="1" applyAlignment="1" applyProtection="1">
      <alignment horizontal="center"/>
      <protection locked="0"/>
    </xf>
    <xf numFmtId="0" fontId="1" fillId="2" borderId="12" xfId="14" applyFill="1" applyBorder="1"/>
    <xf numFmtId="170" fontId="1" fillId="2" borderId="12" xfId="14" applyNumberFormat="1" applyFill="1" applyBorder="1"/>
    <xf numFmtId="0" fontId="1" fillId="2" borderId="1" xfId="14" applyFill="1" applyBorder="1"/>
    <xf numFmtId="4" fontId="1" fillId="2" borderId="35" xfId="14" applyNumberFormat="1" applyFill="1" applyBorder="1"/>
    <xf numFmtId="0" fontId="1" fillId="2" borderId="0" xfId="14" applyFill="1" applyBorder="1" applyAlignment="1">
      <alignment horizontal="center"/>
    </xf>
    <xf numFmtId="0" fontId="1" fillId="12" borderId="1" xfId="14" applyFill="1" applyBorder="1" applyAlignment="1">
      <alignment horizontal="center"/>
    </xf>
    <xf numFmtId="0" fontId="4" fillId="12" borderId="3" xfId="14" applyFont="1" applyFill="1" applyBorder="1" applyAlignment="1">
      <alignment horizontal="center"/>
    </xf>
    <xf numFmtId="0" fontId="4" fillId="12" borderId="1" xfId="14" applyFont="1" applyFill="1" applyBorder="1" applyAlignment="1">
      <alignment horizontal="center"/>
    </xf>
    <xf numFmtId="0" fontId="4" fillId="2" borderId="12" xfId="14" applyFont="1" applyFill="1" applyBorder="1" applyAlignment="1">
      <alignment horizontal="center"/>
    </xf>
    <xf numFmtId="3" fontId="9" fillId="10" borderId="39" xfId="4" applyNumberFormat="1" applyFill="1" applyBorder="1" applyAlignment="1" applyProtection="1">
      <alignment horizontal="center"/>
      <protection locked="0"/>
    </xf>
    <xf numFmtId="177" fontId="1" fillId="2" borderId="12" xfId="14" applyNumberFormat="1" applyFill="1" applyBorder="1"/>
    <xf numFmtId="0" fontId="1" fillId="0" borderId="42" xfId="14" applyBorder="1"/>
    <xf numFmtId="0" fontId="1" fillId="12" borderId="12" xfId="14" applyFill="1" applyBorder="1" applyAlignment="1">
      <alignment horizontal="center"/>
    </xf>
    <xf numFmtId="0" fontId="1" fillId="2" borderId="32" xfId="14" applyFill="1" applyBorder="1"/>
    <xf numFmtId="0" fontId="1" fillId="0" borderId="44" xfId="14" applyBorder="1"/>
    <xf numFmtId="0" fontId="19" fillId="2" borderId="0" xfId="4" applyFont="1" applyFill="1" applyBorder="1" applyProtection="1"/>
    <xf numFmtId="0" fontId="9" fillId="2" borderId="32" xfId="4" applyFont="1" applyFill="1" applyBorder="1" applyProtection="1"/>
    <xf numFmtId="0" fontId="1" fillId="0" borderId="43" xfId="14" applyBorder="1"/>
    <xf numFmtId="0" fontId="9" fillId="2" borderId="32" xfId="4" applyFill="1" applyBorder="1" applyAlignment="1" applyProtection="1">
      <alignment horizontal="center" vertical="center" wrapText="1"/>
    </xf>
    <xf numFmtId="0" fontId="9" fillId="2" borderId="0" xfId="4" applyFill="1" applyBorder="1" applyAlignment="1" applyProtection="1">
      <alignment horizontal="center" vertical="center" wrapText="1"/>
    </xf>
    <xf numFmtId="0" fontId="9" fillId="2" borderId="0" xfId="4" applyFont="1" applyFill="1" applyBorder="1" applyAlignment="1" applyProtection="1">
      <alignment vertical="center" wrapText="1"/>
    </xf>
    <xf numFmtId="0" fontId="9" fillId="2" borderId="0" xfId="4" applyFill="1" applyBorder="1" applyAlignment="1" applyProtection="1">
      <alignment vertical="center" wrapText="1"/>
    </xf>
    <xf numFmtId="0" fontId="9" fillId="2" borderId="12" xfId="4" applyFont="1" applyFill="1" applyBorder="1" applyAlignment="1" applyProtection="1">
      <alignment vertical="center" wrapText="1"/>
    </xf>
    <xf numFmtId="0" fontId="9" fillId="2" borderId="1" xfId="4" applyFill="1" applyBorder="1" applyAlignment="1" applyProtection="1">
      <alignment vertical="center" wrapText="1"/>
    </xf>
    <xf numFmtId="9" fontId="6" fillId="12" borderId="12" xfId="15" applyFont="1" applyFill="1" applyBorder="1" applyAlignment="1">
      <alignment horizontal="center"/>
    </xf>
    <xf numFmtId="0" fontId="1" fillId="10" borderId="12" xfId="14" applyFill="1" applyBorder="1" applyAlignment="1">
      <alignment horizontal="center"/>
    </xf>
    <xf numFmtId="3" fontId="9" fillId="10" borderId="40" xfId="4" applyNumberFormat="1" applyFill="1" applyBorder="1" applyAlignment="1" applyProtection="1">
      <alignment horizontal="center"/>
      <protection locked="0"/>
    </xf>
    <xf numFmtId="170" fontId="9" fillId="10" borderId="50" xfId="4" applyNumberFormat="1" applyFill="1" applyBorder="1" applyAlignment="1" applyProtection="1">
      <alignment horizontal="center"/>
      <protection locked="0"/>
    </xf>
    <xf numFmtId="0" fontId="1" fillId="2" borderId="41" xfId="14" applyFill="1" applyBorder="1"/>
    <xf numFmtId="4" fontId="1" fillId="2" borderId="37" xfId="14" applyNumberFormat="1" applyFill="1" applyBorder="1"/>
    <xf numFmtId="4" fontId="4" fillId="2" borderId="20" xfId="14" applyNumberFormat="1" applyFont="1" applyFill="1" applyBorder="1"/>
    <xf numFmtId="0" fontId="1" fillId="0" borderId="1" xfId="14" applyBorder="1" applyAlignment="1">
      <alignment horizontal="center"/>
    </xf>
    <xf numFmtId="0" fontId="4" fillId="2" borderId="3" xfId="14" applyFont="1" applyFill="1" applyBorder="1" applyAlignment="1">
      <alignment horizontal="center"/>
    </xf>
    <xf numFmtId="0" fontId="4" fillId="2" borderId="1" xfId="14" applyFont="1" applyFill="1" applyBorder="1" applyAlignment="1">
      <alignment horizontal="center"/>
    </xf>
    <xf numFmtId="0" fontId="1" fillId="2" borderId="51" xfId="14" applyFill="1" applyBorder="1"/>
    <xf numFmtId="2" fontId="1" fillId="2" borderId="52" xfId="14" applyNumberFormat="1" applyFill="1" applyBorder="1" applyAlignment="1">
      <alignment horizontal="center"/>
    </xf>
    <xf numFmtId="2" fontId="1" fillId="2" borderId="52" xfId="14" applyNumberFormat="1" applyFill="1" applyBorder="1"/>
    <xf numFmtId="177" fontId="1" fillId="2" borderId="52" xfId="14" applyNumberFormat="1" applyFill="1" applyBorder="1"/>
    <xf numFmtId="0" fontId="1" fillId="2" borderId="52" xfId="14" applyFill="1" applyBorder="1"/>
    <xf numFmtId="170" fontId="1" fillId="2" borderId="52" xfId="14" applyNumberFormat="1" applyFill="1" applyBorder="1"/>
    <xf numFmtId="2" fontId="1" fillId="10" borderId="52" xfId="14" applyNumberFormat="1" applyFill="1" applyBorder="1"/>
    <xf numFmtId="4" fontId="4" fillId="2" borderId="53" xfId="14" applyNumberFormat="1" applyFont="1" applyFill="1" applyBorder="1"/>
    <xf numFmtId="0" fontId="1" fillId="2" borderId="54" xfId="14" applyFill="1" applyBorder="1"/>
    <xf numFmtId="2" fontId="1" fillId="2" borderId="12" xfId="14" applyNumberFormat="1" applyFill="1" applyBorder="1" applyAlignment="1">
      <alignment horizontal="center"/>
    </xf>
    <xf numFmtId="4" fontId="4" fillId="2" borderId="55" xfId="14" applyNumberFormat="1" applyFont="1" applyFill="1" applyBorder="1"/>
    <xf numFmtId="0" fontId="4" fillId="0" borderId="1" xfId="14" applyFont="1" applyBorder="1"/>
    <xf numFmtId="0" fontId="4" fillId="2" borderId="2" xfId="14" applyFont="1" applyFill="1" applyBorder="1" applyAlignment="1">
      <alignment horizontal="center"/>
    </xf>
    <xf numFmtId="0" fontId="1" fillId="2" borderId="56" xfId="14" applyFill="1" applyBorder="1"/>
    <xf numFmtId="2" fontId="1" fillId="2" borderId="50" xfId="14" applyNumberFormat="1" applyFill="1" applyBorder="1" applyAlignment="1">
      <alignment horizontal="center"/>
    </xf>
    <xf numFmtId="4" fontId="1" fillId="2" borderId="50" xfId="14" applyNumberFormat="1" applyFill="1" applyBorder="1"/>
    <xf numFmtId="170" fontId="1" fillId="2" borderId="50" xfId="14" applyNumberFormat="1" applyFill="1" applyBorder="1"/>
    <xf numFmtId="0" fontId="1" fillId="2" borderId="50" xfId="14" applyFill="1" applyBorder="1"/>
    <xf numFmtId="2" fontId="1" fillId="10" borderId="50" xfId="14" applyNumberFormat="1" applyFill="1" applyBorder="1"/>
    <xf numFmtId="4" fontId="4" fillId="2" borderId="57" xfId="14" applyNumberFormat="1" applyFont="1" applyFill="1" applyBorder="1"/>
    <xf numFmtId="0" fontId="4" fillId="2" borderId="0" xfId="14" applyFont="1" applyFill="1"/>
    <xf numFmtId="0" fontId="2" fillId="2" borderId="0" xfId="14" applyFont="1" applyFill="1" applyBorder="1"/>
    <xf numFmtId="0" fontId="5" fillId="2" borderId="0" xfId="14" applyFont="1" applyFill="1" applyBorder="1"/>
    <xf numFmtId="166" fontId="2" fillId="2" borderId="0" xfId="9" applyFont="1" applyFill="1" applyBorder="1" applyAlignment="1"/>
    <xf numFmtId="166" fontId="2" fillId="2" borderId="0" xfId="14" applyNumberFormat="1" applyFont="1" applyFill="1" applyBorder="1"/>
    <xf numFmtId="166" fontId="1" fillId="2" borderId="0" xfId="14" applyNumberFormat="1" applyFill="1"/>
    <xf numFmtId="4" fontId="4" fillId="2" borderId="0" xfId="14" applyNumberFormat="1" applyFont="1" applyFill="1" applyBorder="1"/>
    <xf numFmtId="0" fontId="5" fillId="2" borderId="0" xfId="14" applyFont="1" applyFill="1" applyBorder="1" applyAlignment="1">
      <alignment horizontal="left"/>
    </xf>
    <xf numFmtId="9" fontId="6" fillId="2" borderId="52" xfId="15" applyFont="1" applyFill="1" applyBorder="1" applyAlignment="1">
      <alignment horizontal="center"/>
    </xf>
    <xf numFmtId="0" fontId="2" fillId="2" borderId="0" xfId="14" applyFont="1" applyFill="1" applyBorder="1" applyAlignment="1">
      <alignment horizontal="right"/>
    </xf>
    <xf numFmtId="9" fontId="6" fillId="2" borderId="50" xfId="15" applyFont="1" applyFill="1" applyBorder="1" applyAlignment="1">
      <alignment horizontal="center"/>
    </xf>
    <xf numFmtId="166" fontId="6" fillId="2" borderId="0" xfId="9" applyFont="1" applyFill="1"/>
    <xf numFmtId="166" fontId="4" fillId="2" borderId="0" xfId="14" applyNumberFormat="1" applyFont="1" applyFill="1"/>
    <xf numFmtId="0" fontId="1" fillId="2" borderId="0" xfId="14" applyFont="1" applyFill="1"/>
    <xf numFmtId="2" fontId="1" fillId="2" borderId="0" xfId="14" applyNumberFormat="1" applyFill="1"/>
    <xf numFmtId="1" fontId="1" fillId="2" borderId="0" xfId="14" applyNumberFormat="1" applyFill="1"/>
    <xf numFmtId="0" fontId="1" fillId="2" borderId="25" xfId="14" applyFill="1" applyBorder="1"/>
    <xf numFmtId="0" fontId="1" fillId="2" borderId="26" xfId="14" applyFill="1" applyBorder="1"/>
    <xf numFmtId="0" fontId="1" fillId="2" borderId="27" xfId="14" applyFill="1" applyBorder="1"/>
    <xf numFmtId="166" fontId="10" fillId="10" borderId="30" xfId="9" applyFont="1" applyFill="1" applyBorder="1"/>
    <xf numFmtId="166" fontId="10" fillId="10" borderId="36" xfId="9" applyFont="1" applyFill="1" applyBorder="1"/>
    <xf numFmtId="166" fontId="10" fillId="10" borderId="34" xfId="9" applyFont="1" applyFill="1" applyBorder="1"/>
    <xf numFmtId="166" fontId="1" fillId="0" borderId="0" xfId="14" applyNumberFormat="1"/>
    <xf numFmtId="0" fontId="10" fillId="10" borderId="0" xfId="4" applyFont="1" applyFill="1"/>
    <xf numFmtId="0" fontId="9" fillId="10" borderId="0" xfId="4" applyFill="1"/>
    <xf numFmtId="0" fontId="9" fillId="10" borderId="0" xfId="4" applyFill="1" applyAlignment="1">
      <alignment horizontal="center"/>
    </xf>
    <xf numFmtId="0" fontId="9" fillId="0" borderId="0" xfId="4"/>
    <xf numFmtId="0" fontId="9" fillId="0" borderId="0" xfId="4" applyAlignment="1">
      <alignment horizontal="center"/>
    </xf>
    <xf numFmtId="168" fontId="0" fillId="0" borderId="0" xfId="16" applyNumberFormat="1" applyFont="1" applyAlignment="1">
      <alignment horizontal="center"/>
    </xf>
    <xf numFmtId="0" fontId="22" fillId="0" borderId="0" xfId="4" applyFont="1"/>
    <xf numFmtId="168" fontId="22" fillId="0" borderId="0" xfId="16" applyNumberFormat="1" applyFont="1" applyAlignment="1">
      <alignment horizontal="center"/>
    </xf>
    <xf numFmtId="168" fontId="0" fillId="0" borderId="58" xfId="16" applyNumberFormat="1" applyFont="1" applyBorder="1" applyAlignment="1">
      <alignment horizontal="center"/>
    </xf>
    <xf numFmtId="0" fontId="10" fillId="0" borderId="0" xfId="4" applyFont="1"/>
    <xf numFmtId="0" fontId="9" fillId="0" borderId="1" xfId="4" applyBorder="1"/>
    <xf numFmtId="0" fontId="9" fillId="0" borderId="2" xfId="4" applyBorder="1"/>
    <xf numFmtId="166" fontId="0" fillId="0" borderId="3" xfId="9" applyFont="1" applyBorder="1" applyAlignment="1">
      <alignment horizontal="center"/>
    </xf>
    <xf numFmtId="0" fontId="9" fillId="10" borderId="0" xfId="4" applyFill="1" applyAlignment="1">
      <alignment horizontal="right"/>
    </xf>
    <xf numFmtId="168" fontId="6" fillId="10" borderId="0" xfId="16" applyNumberFormat="1" applyFont="1" applyFill="1" applyAlignment="1">
      <alignment horizontal="center"/>
    </xf>
    <xf numFmtId="0" fontId="49" fillId="0" borderId="0" xfId="4" applyFont="1"/>
    <xf numFmtId="168" fontId="49" fillId="0" borderId="0" xfId="16" applyNumberFormat="1" applyFont="1" applyAlignment="1">
      <alignment horizontal="center"/>
    </xf>
    <xf numFmtId="0" fontId="9" fillId="0" borderId="58" xfId="4" applyBorder="1"/>
    <xf numFmtId="166" fontId="9" fillId="0" borderId="3" xfId="9" applyFont="1" applyBorder="1" applyAlignment="1">
      <alignment horizontal="center"/>
    </xf>
    <xf numFmtId="168" fontId="9" fillId="0" borderId="58" xfId="4" applyNumberFormat="1" applyBorder="1" applyAlignment="1">
      <alignment horizontal="center"/>
    </xf>
    <xf numFmtId="168" fontId="9" fillId="0" borderId="0" xfId="4" applyNumberFormat="1" applyBorder="1" applyAlignment="1">
      <alignment horizontal="center"/>
    </xf>
    <xf numFmtId="166" fontId="10" fillId="10" borderId="0" xfId="4" applyNumberFormat="1" applyFont="1" applyFill="1"/>
    <xf numFmtId="0" fontId="50" fillId="14" borderId="59" xfId="4" applyFont="1" applyFill="1" applyBorder="1" applyAlignment="1">
      <alignment horizontal="center"/>
    </xf>
    <xf numFmtId="0" fontId="50" fillId="14" borderId="60" xfId="4" applyFont="1" applyFill="1" applyBorder="1" applyAlignment="1">
      <alignment horizontal="center"/>
    </xf>
    <xf numFmtId="9" fontId="1" fillId="0" borderId="0" xfId="14" applyNumberFormat="1"/>
    <xf numFmtId="0" fontId="51" fillId="15" borderId="59" xfId="4" applyFont="1" applyFill="1" applyBorder="1" applyAlignment="1">
      <alignment horizontal="center" wrapText="1"/>
    </xf>
    <xf numFmtId="166" fontId="51" fillId="15" borderId="59" xfId="9" applyFont="1" applyFill="1" applyBorder="1" applyAlignment="1">
      <alignment horizontal="center" wrapText="1"/>
    </xf>
    <xf numFmtId="166" fontId="0" fillId="0" borderId="0" xfId="9" applyFont="1"/>
    <xf numFmtId="0" fontId="1" fillId="0" borderId="0" xfId="17"/>
    <xf numFmtId="0" fontId="4" fillId="0" borderId="0" xfId="17" applyFont="1"/>
    <xf numFmtId="9" fontId="0" fillId="0" borderId="0" xfId="13" applyFont="1"/>
    <xf numFmtId="0" fontId="1" fillId="0" borderId="12" xfId="17" applyBorder="1"/>
    <xf numFmtId="0" fontId="1" fillId="10" borderId="12" xfId="17" applyFill="1" applyBorder="1"/>
    <xf numFmtId="0" fontId="1" fillId="2" borderId="0" xfId="17" applyFill="1" applyBorder="1"/>
    <xf numFmtId="9" fontId="1" fillId="0" borderId="12" xfId="17" applyNumberFormat="1" applyBorder="1"/>
    <xf numFmtId="0" fontId="1" fillId="0" borderId="42" xfId="17" applyBorder="1"/>
    <xf numFmtId="0" fontId="1" fillId="0" borderId="43" xfId="17" applyBorder="1"/>
    <xf numFmtId="0" fontId="1" fillId="0" borderId="1" xfId="17" applyBorder="1"/>
    <xf numFmtId="0" fontId="1" fillId="0" borderId="23" xfId="17" applyBorder="1"/>
    <xf numFmtId="0" fontId="1" fillId="0" borderId="0" xfId="17" applyBorder="1"/>
    <xf numFmtId="0" fontId="1" fillId="0" borderId="24" xfId="17" applyBorder="1"/>
    <xf numFmtId="0" fontId="1" fillId="0" borderId="21" xfId="17" applyBorder="1"/>
    <xf numFmtId="0" fontId="1" fillId="0" borderId="44" xfId="17" applyBorder="1"/>
    <xf numFmtId="0" fontId="1" fillId="0" borderId="0" xfId="17" applyFill="1" applyBorder="1"/>
    <xf numFmtId="0" fontId="1" fillId="0" borderId="25" xfId="17" applyBorder="1"/>
    <xf numFmtId="0" fontId="1" fillId="0" borderId="26" xfId="17" applyBorder="1"/>
    <xf numFmtId="0" fontId="1" fillId="0" borderId="27" xfId="17" applyBorder="1"/>
    <xf numFmtId="0" fontId="4" fillId="0" borderId="21" xfId="17" applyFont="1" applyBorder="1"/>
    <xf numFmtId="0" fontId="1" fillId="0" borderId="22" xfId="17" applyBorder="1"/>
    <xf numFmtId="166" fontId="0" fillId="0" borderId="22" xfId="18" applyFont="1" applyBorder="1"/>
    <xf numFmtId="166" fontId="0" fillId="0" borderId="24" xfId="18" applyFont="1" applyBorder="1"/>
    <xf numFmtId="0" fontId="1" fillId="0" borderId="23" xfId="17" applyFill="1" applyBorder="1"/>
    <xf numFmtId="166" fontId="0" fillId="0" borderId="27" xfId="18" applyFont="1" applyBorder="1"/>
    <xf numFmtId="44" fontId="0" fillId="0" borderId="0" xfId="0" applyNumberFormat="1" applyFill="1" applyProtection="1"/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166" fontId="18" fillId="3" borderId="0" xfId="5" applyNumberFormat="1" applyFont="1" applyFill="1" applyBorder="1" applyAlignment="1" applyProtection="1"/>
    <xf numFmtId="0" fontId="0" fillId="10" borderId="0" xfId="0" applyFill="1" applyProtection="1"/>
    <xf numFmtId="0" fontId="10" fillId="0" borderId="0" xfId="0" applyFont="1" applyFill="1" applyProtection="1"/>
    <xf numFmtId="0" fontId="0" fillId="10" borderId="38" xfId="0" applyFill="1" applyBorder="1" applyProtection="1"/>
    <xf numFmtId="0" fontId="0" fillId="10" borderId="12" xfId="0" applyFill="1" applyBorder="1" applyProtection="1">
      <protection locked="0"/>
    </xf>
    <xf numFmtId="0" fontId="9" fillId="10" borderId="12" xfId="0" applyFont="1" applyFill="1" applyBorder="1" applyProtection="1">
      <protection locked="0"/>
    </xf>
    <xf numFmtId="0" fontId="0" fillId="0" borderId="12" xfId="0" applyBorder="1" applyProtection="1">
      <protection locked="0"/>
    </xf>
    <xf numFmtId="168" fontId="23" fillId="0" borderId="12" xfId="0" applyNumberFormat="1" applyFont="1" applyBorder="1" applyProtection="1">
      <protection locked="0"/>
    </xf>
    <xf numFmtId="167" fontId="12" fillId="3" borderId="0" xfId="0" applyNumberFormat="1" applyFont="1" applyFill="1" applyBorder="1" applyProtection="1"/>
    <xf numFmtId="168" fontId="9" fillId="0" borderId="1" xfId="1" applyNumberFormat="1" applyFont="1" applyFill="1" applyBorder="1" applyAlignment="1" applyProtection="1">
      <alignment horizontal="center"/>
    </xf>
    <xf numFmtId="168" fontId="9" fillId="0" borderId="3" xfId="1" applyNumberFormat="1" applyFont="1" applyFill="1" applyBorder="1" applyAlignment="1" applyProtection="1">
      <alignment horizontal="center"/>
    </xf>
    <xf numFmtId="10" fontId="9" fillId="4" borderId="1" xfId="3" applyNumberFormat="1" applyFont="1" applyFill="1" applyBorder="1" applyAlignment="1" applyProtection="1">
      <alignment horizontal="right"/>
      <protection locked="0"/>
    </xf>
    <xf numFmtId="10" fontId="9" fillId="4" borderId="3" xfId="3" applyNumberFormat="1" applyFont="1" applyFill="1" applyBorder="1" applyAlignment="1" applyProtection="1">
      <alignment horizontal="right"/>
      <protection locked="0"/>
    </xf>
    <xf numFmtId="9" fontId="9" fillId="4" borderId="1" xfId="3" applyFont="1" applyFill="1" applyBorder="1" applyAlignment="1" applyProtection="1">
      <alignment horizontal="right"/>
      <protection locked="0"/>
    </xf>
    <xf numFmtId="9" fontId="9" fillId="4" borderId="3" xfId="3" applyFont="1" applyFill="1" applyBorder="1" applyAlignment="1" applyProtection="1">
      <alignment horizontal="right"/>
      <protection locked="0"/>
    </xf>
    <xf numFmtId="0" fontId="12" fillId="3" borderId="0" xfId="0" applyFont="1" applyFill="1" applyBorder="1" applyAlignment="1" applyProtection="1">
      <alignment horizontal="left"/>
    </xf>
    <xf numFmtId="3" fontId="0" fillId="4" borderId="1" xfId="0" applyNumberFormat="1" applyFill="1" applyBorder="1" applyAlignment="1" applyProtection="1">
      <alignment horizontal="center"/>
      <protection locked="0"/>
    </xf>
    <xf numFmtId="3" fontId="0" fillId="4" borderId="2" xfId="0" applyNumberFormat="1" applyFill="1" applyBorder="1" applyAlignment="1" applyProtection="1">
      <alignment horizontal="center"/>
      <protection locked="0"/>
    </xf>
    <xf numFmtId="3" fontId="0" fillId="4" borderId="3" xfId="0" applyNumberFormat="1" applyFill="1" applyBorder="1" applyAlignment="1" applyProtection="1">
      <alignment horizontal="center"/>
      <protection locked="0"/>
    </xf>
    <xf numFmtId="3" fontId="0" fillId="4" borderId="0" xfId="0" applyNumberFormat="1" applyFill="1" applyBorder="1" applyAlignment="1" applyProtection="1">
      <alignment horizontal="center"/>
      <protection locked="0"/>
    </xf>
    <xf numFmtId="173" fontId="9" fillId="0" borderId="1" xfId="1" applyNumberFormat="1" applyFont="1" applyFill="1" applyBorder="1" applyAlignment="1" applyProtection="1"/>
    <xf numFmtId="173" fontId="9" fillId="0" borderId="3" xfId="1" applyNumberFormat="1" applyFont="1" applyFill="1" applyBorder="1" applyAlignment="1" applyProtection="1"/>
    <xf numFmtId="167" fontId="14" fillId="6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>
      <alignment horizontal="right" vertical="center" wrapText="1"/>
    </xf>
    <xf numFmtId="166" fontId="6" fillId="2" borderId="0" xfId="5" applyNumberFormat="1" applyFont="1" applyFill="1" applyBorder="1" applyAlignment="1" applyProtection="1">
      <alignment horizontal="center"/>
    </xf>
    <xf numFmtId="167" fontId="0" fillId="3" borderId="17" xfId="0" applyNumberFormat="1" applyFill="1" applyBorder="1" applyAlignment="1" applyProtection="1">
      <alignment horizontal="left"/>
    </xf>
    <xf numFmtId="167" fontId="0" fillId="3" borderId="18" xfId="0" applyNumberFormat="1" applyFill="1" applyBorder="1" applyAlignment="1" applyProtection="1">
      <alignment horizontal="left"/>
    </xf>
    <xf numFmtId="167" fontId="0" fillId="3" borderId="19" xfId="0" applyNumberFormat="1" applyFill="1" applyBorder="1" applyAlignment="1" applyProtection="1">
      <alignment horizontal="left"/>
    </xf>
    <xf numFmtId="9" fontId="9" fillId="4" borderId="1" xfId="3" applyNumberFormat="1" applyFont="1" applyFill="1" applyBorder="1" applyAlignment="1" applyProtection="1">
      <alignment horizontal="right"/>
    </xf>
    <xf numFmtId="9" fontId="9" fillId="4" borderId="3" xfId="3" applyNumberFormat="1" applyFont="1" applyFill="1" applyBorder="1" applyAlignment="1" applyProtection="1">
      <alignment horizontal="right"/>
    </xf>
    <xf numFmtId="167" fontId="13" fillId="4" borderId="0" xfId="0" applyNumberFormat="1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1" fontId="9" fillId="4" borderId="1" xfId="0" applyNumberFormat="1" applyFont="1" applyFill="1" applyBorder="1" applyAlignment="1" applyProtection="1">
      <alignment horizontal="left"/>
      <protection locked="0"/>
    </xf>
    <xf numFmtId="1" fontId="9" fillId="4" borderId="2" xfId="0" applyNumberFormat="1" applyFont="1" applyFill="1" applyBorder="1" applyAlignment="1" applyProtection="1">
      <alignment horizontal="left"/>
      <protection locked="0"/>
    </xf>
    <xf numFmtId="1" fontId="9" fillId="4" borderId="3" xfId="0" applyNumberFormat="1" applyFont="1" applyFill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0" fontId="9" fillId="4" borderId="3" xfId="0" applyFont="1" applyFill="1" applyBorder="1" applyAlignment="1" applyProtection="1">
      <alignment horizontal="left"/>
      <protection locked="0"/>
    </xf>
    <xf numFmtId="167" fontId="13" fillId="4" borderId="1" xfId="0" applyNumberFormat="1" applyFont="1" applyFill="1" applyBorder="1" applyAlignment="1" applyProtection="1">
      <alignment horizontal="right"/>
      <protection locked="0"/>
    </xf>
    <xf numFmtId="167" fontId="13" fillId="4" borderId="3" xfId="0" applyNumberFormat="1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167" fontId="9" fillId="3" borderId="17" xfId="4" applyNumberFormat="1" applyFill="1" applyBorder="1" applyAlignment="1" applyProtection="1">
      <alignment horizontal="left"/>
    </xf>
    <xf numFmtId="167" fontId="9" fillId="3" borderId="18" xfId="4" applyNumberFormat="1" applyFill="1" applyBorder="1" applyAlignment="1" applyProtection="1">
      <alignment horizontal="left"/>
    </xf>
    <xf numFmtId="167" fontId="9" fillId="3" borderId="19" xfId="4" applyNumberFormat="1" applyFill="1" applyBorder="1" applyAlignment="1" applyProtection="1">
      <alignment horizontal="left"/>
    </xf>
    <xf numFmtId="3" fontId="9" fillId="4" borderId="1" xfId="4" applyNumberFormat="1" applyFill="1" applyBorder="1" applyAlignment="1" applyProtection="1">
      <alignment horizontal="center"/>
      <protection locked="0"/>
    </xf>
    <xf numFmtId="3" fontId="9" fillId="4" borderId="2" xfId="4" applyNumberFormat="1" applyFill="1" applyBorder="1" applyAlignment="1" applyProtection="1">
      <alignment horizontal="center"/>
      <protection locked="0"/>
    </xf>
    <xf numFmtId="3" fontId="9" fillId="4" borderId="3" xfId="4" applyNumberFormat="1" applyFill="1" applyBorder="1" applyAlignment="1" applyProtection="1">
      <alignment horizontal="center"/>
      <protection locked="0"/>
    </xf>
    <xf numFmtId="3" fontId="9" fillId="4" borderId="0" xfId="4" applyNumberFormat="1" applyFill="1" applyBorder="1" applyAlignment="1" applyProtection="1">
      <alignment horizontal="center"/>
      <protection locked="0"/>
    </xf>
    <xf numFmtId="166" fontId="9" fillId="2" borderId="1" xfId="9" applyFont="1" applyFill="1" applyBorder="1" applyAlignment="1" applyProtection="1">
      <alignment horizontal="center"/>
      <protection locked="0"/>
    </xf>
    <xf numFmtId="166" fontId="9" fillId="2" borderId="3" xfId="9" applyFont="1" applyFill="1" applyBorder="1" applyAlignment="1" applyProtection="1">
      <alignment horizontal="center"/>
      <protection locked="0"/>
    </xf>
    <xf numFmtId="4" fontId="9" fillId="4" borderId="1" xfId="4" applyNumberFormat="1" applyFill="1" applyBorder="1" applyAlignment="1" applyProtection="1">
      <alignment horizontal="center"/>
      <protection locked="0"/>
    </xf>
    <xf numFmtId="4" fontId="9" fillId="4" borderId="2" xfId="4" applyNumberFormat="1" applyFill="1" applyBorder="1" applyAlignment="1" applyProtection="1">
      <alignment horizontal="center"/>
      <protection locked="0"/>
    </xf>
    <xf numFmtId="4" fontId="9" fillId="4" borderId="3" xfId="4" applyNumberFormat="1" applyFill="1" applyBorder="1" applyAlignment="1" applyProtection="1">
      <alignment horizontal="center"/>
      <protection locked="0"/>
    </xf>
    <xf numFmtId="0" fontId="10" fillId="3" borderId="0" xfId="4" applyFont="1" applyFill="1" applyBorder="1" applyAlignment="1" applyProtection="1">
      <alignment horizontal="right" vertical="center" wrapText="1"/>
    </xf>
    <xf numFmtId="0" fontId="7" fillId="0" borderId="1" xfId="4" applyFont="1" applyBorder="1" applyAlignment="1" applyProtection="1">
      <alignment horizontal="center" vertical="center" wrapText="1"/>
    </xf>
    <xf numFmtId="0" fontId="7" fillId="0" borderId="2" xfId="4" applyFont="1" applyBorder="1" applyAlignment="1" applyProtection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1" fontId="9" fillId="4" borderId="1" xfId="4" applyNumberFormat="1" applyFont="1" applyFill="1" applyBorder="1" applyAlignment="1" applyProtection="1">
      <alignment horizontal="left"/>
      <protection locked="0"/>
    </xf>
    <xf numFmtId="1" fontId="9" fillId="4" borderId="2" xfId="4" applyNumberFormat="1" applyFont="1" applyFill="1" applyBorder="1" applyAlignment="1" applyProtection="1">
      <alignment horizontal="left"/>
      <protection locked="0"/>
    </xf>
    <xf numFmtId="1" fontId="9" fillId="4" borderId="3" xfId="4" applyNumberFormat="1" applyFont="1" applyFill="1" applyBorder="1" applyAlignment="1" applyProtection="1">
      <alignment horizontal="left"/>
      <protection locked="0"/>
    </xf>
    <xf numFmtId="0" fontId="9" fillId="4" borderId="1" xfId="4" applyFont="1" applyFill="1" applyBorder="1" applyAlignment="1" applyProtection="1">
      <alignment horizontal="left"/>
      <protection locked="0"/>
    </xf>
    <xf numFmtId="0" fontId="9" fillId="4" borderId="2" xfId="4" applyFont="1" applyFill="1" applyBorder="1" applyAlignment="1" applyProtection="1">
      <alignment horizontal="left"/>
      <protection locked="0"/>
    </xf>
    <xf numFmtId="0" fontId="9" fillId="4" borderId="3" xfId="4" applyFont="1" applyFill="1" applyBorder="1" applyAlignment="1" applyProtection="1">
      <alignment horizontal="left"/>
      <protection locked="0"/>
    </xf>
    <xf numFmtId="167" fontId="13" fillId="4" borderId="1" xfId="4" applyNumberFormat="1" applyFont="1" applyFill="1" applyBorder="1" applyAlignment="1" applyProtection="1">
      <alignment horizontal="right"/>
      <protection locked="0"/>
    </xf>
    <xf numFmtId="167" fontId="13" fillId="4" borderId="3" xfId="4" applyNumberFormat="1" applyFont="1" applyFill="1" applyBorder="1" applyAlignment="1" applyProtection="1">
      <alignment horizontal="right"/>
      <protection locked="0"/>
    </xf>
    <xf numFmtId="167" fontId="13" fillId="4" borderId="0" xfId="4" applyNumberFormat="1" applyFont="1" applyFill="1" applyBorder="1" applyAlignment="1" applyProtection="1">
      <alignment horizontal="right"/>
    </xf>
    <xf numFmtId="167" fontId="14" fillId="6" borderId="0" xfId="4" applyNumberFormat="1" applyFont="1" applyFill="1" applyBorder="1" applyAlignment="1" applyProtection="1">
      <alignment horizontal="right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169" fontId="10" fillId="6" borderId="0" xfId="0" applyNumberFormat="1" applyFont="1" applyFill="1" applyBorder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1" fillId="2" borderId="45" xfId="14" applyFill="1" applyBorder="1" applyAlignment="1">
      <alignment horizontal="center"/>
    </xf>
    <xf numFmtId="0" fontId="1" fillId="2" borderId="27" xfId="14" applyFill="1" applyBorder="1" applyAlignment="1">
      <alignment horizontal="center"/>
    </xf>
    <xf numFmtId="0" fontId="9" fillId="2" borderId="46" xfId="4" applyFont="1" applyFill="1" applyBorder="1" applyAlignment="1" applyProtection="1">
      <alignment horizontal="center" vertical="center" wrapText="1"/>
    </xf>
    <xf numFmtId="0" fontId="9" fillId="2" borderId="23" xfId="4" applyFont="1" applyFill="1" applyBorder="1" applyAlignment="1" applyProtection="1">
      <alignment horizontal="center" vertical="center" wrapText="1"/>
    </xf>
    <xf numFmtId="0" fontId="9" fillId="2" borderId="29" xfId="4" applyFill="1" applyBorder="1" applyAlignment="1" applyProtection="1">
      <alignment horizontal="center" vertical="center" wrapText="1"/>
    </xf>
    <xf numFmtId="0" fontId="9" fillId="2" borderId="0" xfId="4" applyFill="1" applyBorder="1" applyAlignment="1" applyProtection="1">
      <alignment horizontal="center" vertical="center" wrapText="1"/>
    </xf>
    <xf numFmtId="0" fontId="1" fillId="0" borderId="42" xfId="14" applyBorder="1" applyAlignment="1">
      <alignment horizontal="center" vertical="center" textRotation="90"/>
    </xf>
    <xf numFmtId="0" fontId="1" fillId="0" borderId="43" xfId="14" applyBorder="1" applyAlignment="1">
      <alignment horizontal="center" vertical="center" textRotation="90"/>
    </xf>
    <xf numFmtId="0" fontId="9" fillId="2" borderId="49" xfId="4" applyFill="1" applyBorder="1" applyAlignment="1" applyProtection="1">
      <alignment horizontal="center" vertical="center" wrapText="1"/>
    </xf>
    <xf numFmtId="0" fontId="9" fillId="2" borderId="47" xfId="4" applyFill="1" applyBorder="1" applyAlignment="1" applyProtection="1">
      <alignment horizontal="center" vertical="center" wrapText="1"/>
    </xf>
    <xf numFmtId="0" fontId="9" fillId="2" borderId="4" xfId="4" applyFill="1" applyBorder="1" applyAlignment="1" applyProtection="1">
      <alignment horizontal="center" vertical="center" wrapText="1"/>
    </xf>
    <xf numFmtId="0" fontId="9" fillId="2" borderId="26" xfId="4" applyFill="1" applyBorder="1" applyAlignment="1" applyProtection="1">
      <alignment horizontal="center" vertical="center" wrapText="1"/>
    </xf>
    <xf numFmtId="0" fontId="1" fillId="2" borderId="0" xfId="14" applyFill="1" applyBorder="1" applyAlignment="1">
      <alignment horizontal="center"/>
    </xf>
    <xf numFmtId="0" fontId="9" fillId="2" borderId="0" xfId="4" applyFont="1" applyFill="1" applyBorder="1" applyAlignment="1" applyProtection="1">
      <alignment horizontal="center" vertical="center" wrapText="1"/>
    </xf>
    <xf numFmtId="0" fontId="4" fillId="0" borderId="42" xfId="14" applyFont="1" applyBorder="1" applyAlignment="1">
      <alignment horizontal="center"/>
    </xf>
    <xf numFmtId="0" fontId="4" fillId="0" borderId="43" xfId="14" applyFont="1" applyBorder="1" applyAlignment="1">
      <alignment horizontal="center"/>
    </xf>
    <xf numFmtId="0" fontId="4" fillId="2" borderId="26" xfId="14" applyFont="1" applyFill="1" applyBorder="1" applyAlignment="1">
      <alignment horizontal="center"/>
    </xf>
    <xf numFmtId="0" fontId="1" fillId="0" borderId="44" xfId="14" applyBorder="1" applyAlignment="1">
      <alignment horizontal="center" vertical="center" textRotation="90"/>
    </xf>
    <xf numFmtId="2" fontId="9" fillId="2" borderId="36" xfId="4" applyNumberFormat="1" applyFont="1" applyFill="1" applyBorder="1" applyAlignment="1" applyProtection="1">
      <alignment horizontal="center"/>
    </xf>
    <xf numFmtId="0" fontId="9" fillId="2" borderId="28" xfId="4" applyFill="1" applyBorder="1" applyAlignment="1" applyProtection="1">
      <alignment horizontal="center" vertical="center" wrapText="1"/>
    </xf>
    <xf numFmtId="0" fontId="4" fillId="0" borderId="42" xfId="14" applyFont="1" applyBorder="1" applyAlignment="1">
      <alignment horizontal="center" wrapText="1"/>
    </xf>
    <xf numFmtId="0" fontId="4" fillId="0" borderId="43" xfId="14" applyFont="1" applyBorder="1" applyAlignment="1">
      <alignment horizontal="center" wrapText="1"/>
    </xf>
    <xf numFmtId="9" fontId="46" fillId="2" borderId="4" xfId="15" applyFont="1" applyFill="1" applyBorder="1" applyAlignment="1">
      <alignment horizontal="center"/>
    </xf>
    <xf numFmtId="0" fontId="4" fillId="0" borderId="21" xfId="14" applyFont="1" applyBorder="1" applyAlignment="1">
      <alignment horizontal="center" wrapText="1"/>
    </xf>
    <xf numFmtId="0" fontId="4" fillId="0" borderId="22" xfId="14" applyFont="1" applyBorder="1" applyAlignment="1">
      <alignment horizontal="center" wrapText="1"/>
    </xf>
    <xf numFmtId="9" fontId="6" fillId="10" borderId="12" xfId="15" applyFont="1" applyFill="1" applyBorder="1" applyAlignment="1">
      <alignment horizontal="center"/>
    </xf>
    <xf numFmtId="0" fontId="4" fillId="10" borderId="1" xfId="14" applyFont="1" applyFill="1" applyBorder="1" applyAlignment="1">
      <alignment horizontal="center"/>
    </xf>
    <xf numFmtId="0" fontId="4" fillId="10" borderId="3" xfId="14" applyFont="1" applyFill="1" applyBorder="1" applyAlignment="1">
      <alignment horizontal="center"/>
    </xf>
    <xf numFmtId="0" fontId="4" fillId="0" borderId="33" xfId="14" applyFont="1" applyBorder="1" applyAlignment="1">
      <alignment horizontal="center"/>
    </xf>
    <xf numFmtId="0" fontId="1" fillId="0" borderId="1" xfId="17" applyBorder="1" applyAlignment="1">
      <alignment horizontal="center"/>
    </xf>
    <xf numFmtId="0" fontId="1" fillId="0" borderId="2" xfId="17" applyBorder="1" applyAlignment="1">
      <alignment horizontal="center"/>
    </xf>
    <xf numFmtId="0" fontId="1" fillId="0" borderId="3" xfId="17" applyBorder="1" applyAlignment="1">
      <alignment horizontal="center"/>
    </xf>
    <xf numFmtId="0" fontId="1" fillId="0" borderId="12" xfId="17" applyBorder="1" applyAlignment="1">
      <alignment horizontal="center"/>
    </xf>
  </cellXfs>
  <cellStyles count="19">
    <cellStyle name="Euro" xfId="5"/>
    <cellStyle name="Komma" xfId="1" builtinId="3"/>
    <cellStyle name="Komma 2" xfId="8"/>
    <cellStyle name="Komma 3" xfId="16"/>
    <cellStyle name="Link" xfId="6" builtinId="8"/>
    <cellStyle name="Prozent" xfId="3" builtinId="5"/>
    <cellStyle name="Prozent 2 2" xfId="7"/>
    <cellStyle name="Prozent 3" xfId="15"/>
    <cellStyle name="Prozent 4" xfId="13"/>
    <cellStyle name="Standard" xfId="0" builtinId="0"/>
    <cellStyle name="Standard 2" xfId="14"/>
    <cellStyle name="Standard 3" xfId="4"/>
    <cellStyle name="Standard 4" xfId="17"/>
    <cellStyle name="Standard 6" xfId="11"/>
    <cellStyle name="Währung" xfId="2" builtinId="4"/>
    <cellStyle name="Währung 2" xfId="9"/>
    <cellStyle name="Währung 2 2" xfId="10"/>
    <cellStyle name="Währung 3" xfId="18"/>
    <cellStyle name="Währung 7" xfId="12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95250</xdr:rowOff>
    </xdr:from>
    <xdr:to>
      <xdr:col>4</xdr:col>
      <xdr:colOff>590550</xdr:colOff>
      <xdr:row>0</xdr:row>
      <xdr:rowOff>609600</xdr:rowOff>
    </xdr:to>
    <xdr:pic>
      <xdr:nvPicPr>
        <xdr:cNvPr id="2" name="Picture 270" descr="http://www.uni-giessen.de/uni-alt/intern/jlu-logo/jlu-logo-15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95250</xdr:rowOff>
    </xdr:from>
    <xdr:to>
      <xdr:col>4</xdr:col>
      <xdr:colOff>590550</xdr:colOff>
      <xdr:row>0</xdr:row>
      <xdr:rowOff>609600</xdr:rowOff>
    </xdr:to>
    <xdr:pic>
      <xdr:nvPicPr>
        <xdr:cNvPr id="2" name="Picture 270" descr="http://www.uni-giessen.de/uni-alt/intern/jlu-logo/jlu-logo-15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3</xdr:col>
      <xdr:colOff>276225</xdr:colOff>
      <xdr:row>0</xdr:row>
      <xdr:rowOff>590550</xdr:rowOff>
    </xdr:to>
    <xdr:pic>
      <xdr:nvPicPr>
        <xdr:cNvPr id="2" name="Picture 270" descr="http://www.uni-giessen.de/uni-alt/intern/jlu-logo/jlu-logo-15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26</xdr:row>
      <xdr:rowOff>9525</xdr:rowOff>
    </xdr:from>
    <xdr:to>
      <xdr:col>11</xdr:col>
      <xdr:colOff>0</xdr:colOff>
      <xdr:row>28</xdr:row>
      <xdr:rowOff>171450</xdr:rowOff>
    </xdr:to>
    <xdr:sp macro="" textlink="">
      <xdr:nvSpPr>
        <xdr:cNvPr id="2" name="Rechteck 1"/>
        <xdr:cNvSpPr/>
      </xdr:nvSpPr>
      <xdr:spPr>
        <a:xfrm>
          <a:off x="10353675" y="5305425"/>
          <a:ext cx="2495550" cy="542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2800"/>
            <a:t>Speichern</a:t>
          </a:r>
        </a:p>
      </xdr:txBody>
    </xdr:sp>
    <xdr:clientData/>
  </xdr:twoCellAnchor>
  <xdr:oneCellAnchor>
    <xdr:from>
      <xdr:col>16</xdr:col>
      <xdr:colOff>123825</xdr:colOff>
      <xdr:row>31</xdr:row>
      <xdr:rowOff>0</xdr:rowOff>
    </xdr:from>
    <xdr:ext cx="184731" cy="264560"/>
    <xdr:sp macro="" textlink="">
      <xdr:nvSpPr>
        <xdr:cNvPr id="3" name="Textfeld 2"/>
        <xdr:cNvSpPr txBox="1"/>
      </xdr:nvSpPr>
      <xdr:spPr>
        <a:xfrm>
          <a:off x="18326100" y="624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theme="3" tint="0.39997558519241921"/>
  </sheetPr>
  <dimension ref="A1:Y120"/>
  <sheetViews>
    <sheetView tabSelected="1" view="pageBreakPreview" topLeftCell="A84" zoomScaleNormal="100" zoomScaleSheetLayoutView="100" workbookViewId="0">
      <selection activeCell="H52" sqref="H52:I54"/>
    </sheetView>
  </sheetViews>
  <sheetFormatPr baseColWidth="10" defaultRowHeight="12.75" outlineLevelCol="1" x14ac:dyDescent="0.2"/>
  <cols>
    <col min="1" max="1" width="4.28515625" style="2" customWidth="1"/>
    <col min="2" max="2" width="7" style="2" customWidth="1"/>
    <col min="3" max="3" width="4.85546875" style="2" customWidth="1"/>
    <col min="4" max="4" width="3.28515625" style="2" customWidth="1"/>
    <col min="5" max="5" width="24.42578125" style="2" customWidth="1"/>
    <col min="6" max="6" width="3.140625" style="2" customWidth="1"/>
    <col min="7" max="7" width="7" style="2" customWidth="1"/>
    <col min="8" max="8" width="10.85546875" style="2" customWidth="1"/>
    <col min="9" max="9" width="10.7109375" style="2" customWidth="1"/>
    <col min="10" max="10" width="8.7109375" style="2" customWidth="1"/>
    <col min="11" max="11" width="13.28515625" style="2" customWidth="1"/>
    <col min="12" max="12" width="3.42578125" style="2" customWidth="1"/>
    <col min="13" max="14" width="10.28515625" style="2" customWidth="1"/>
    <col min="15" max="15" width="12" style="2" customWidth="1"/>
    <col min="16" max="16" width="14.5703125" style="2" customWidth="1"/>
    <col min="17" max="17" width="3.140625" style="2" customWidth="1"/>
    <col min="18" max="18" width="11.42578125" style="2" customWidth="1"/>
    <col min="19" max="20" width="11.42578125" style="2" hidden="1" customWidth="1" outlineLevel="1"/>
    <col min="21" max="21" width="28.85546875" style="2" hidden="1" customWidth="1" outlineLevel="1"/>
    <col min="22" max="22" width="11.42578125" style="2" collapsed="1"/>
    <col min="23" max="16384" width="11.42578125" style="2"/>
  </cols>
  <sheetData>
    <row r="1" spans="1:25" ht="55.5" customHeight="1" x14ac:dyDescent="0.2">
      <c r="A1" s="1"/>
      <c r="B1" s="662" t="s">
        <v>0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4"/>
      <c r="Q1" s="1"/>
    </row>
    <row r="2" spans="1:25" ht="12.75" customHeight="1" x14ac:dyDescent="0.2">
      <c r="A2" s="1"/>
      <c r="B2" s="673" t="s">
        <v>387</v>
      </c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1"/>
    </row>
    <row r="3" spans="1:25" ht="9.75" customHeight="1" x14ac:dyDescent="0.2">
      <c r="A3" s="3"/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</row>
    <row r="4" spans="1:25" ht="6" customHeight="1" x14ac:dyDescent="0.2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3"/>
      <c r="R4" s="7"/>
      <c r="S4" s="7"/>
      <c r="T4" s="7"/>
      <c r="U4" s="7"/>
      <c r="V4" s="7"/>
      <c r="W4" s="7"/>
      <c r="X4" s="7"/>
      <c r="Y4" s="7"/>
    </row>
    <row r="5" spans="1:25" x14ac:dyDescent="0.2">
      <c r="A5" s="3"/>
      <c r="B5" s="8" t="s">
        <v>1</v>
      </c>
      <c r="C5" s="9" t="s">
        <v>2</v>
      </c>
      <c r="D5" s="10"/>
      <c r="E5" s="10"/>
      <c r="F5" s="10"/>
      <c r="G5" s="665"/>
      <c r="H5" s="666"/>
      <c r="I5" s="666"/>
      <c r="J5" s="666"/>
      <c r="K5" s="666"/>
      <c r="L5" s="667"/>
      <c r="M5" s="11"/>
      <c r="N5" s="11"/>
      <c r="O5" s="12" t="s">
        <v>3</v>
      </c>
      <c r="P5" s="13"/>
      <c r="Q5" s="3"/>
      <c r="R5" s="7"/>
      <c r="S5" s="14">
        <v>0.19</v>
      </c>
      <c r="T5" s="7"/>
      <c r="U5" s="7"/>
      <c r="V5" s="7"/>
      <c r="W5" s="7"/>
      <c r="X5" s="7"/>
      <c r="Y5" s="7"/>
    </row>
    <row r="6" spans="1:25" ht="6" customHeight="1" x14ac:dyDescent="0.2">
      <c r="A6" s="3"/>
      <c r="B6" s="1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6"/>
      <c r="Q6" s="3"/>
      <c r="R6" s="7"/>
      <c r="S6" s="14">
        <v>7.0000000000000007E-2</v>
      </c>
      <c r="T6" s="7"/>
      <c r="U6" s="7"/>
      <c r="V6" s="7"/>
      <c r="W6" s="7"/>
      <c r="X6" s="7"/>
      <c r="Y6" s="7"/>
    </row>
    <row r="7" spans="1:25" x14ac:dyDescent="0.2">
      <c r="A7" s="3"/>
      <c r="B7" s="8" t="s">
        <v>4</v>
      </c>
      <c r="C7" s="9" t="s">
        <v>5</v>
      </c>
      <c r="D7" s="10"/>
      <c r="E7" s="10"/>
      <c r="F7" s="10"/>
      <c r="G7" s="665"/>
      <c r="H7" s="666"/>
      <c r="I7" s="667"/>
      <c r="J7" s="17"/>
      <c r="K7" s="17"/>
      <c r="L7" s="18"/>
      <c r="M7" s="17"/>
      <c r="N7" s="11"/>
      <c r="O7" s="19" t="s">
        <v>6</v>
      </c>
      <c r="P7" s="20"/>
      <c r="Q7" s="3"/>
      <c r="R7" s="7"/>
      <c r="S7" s="7"/>
      <c r="T7" s="7"/>
      <c r="U7" s="7"/>
      <c r="V7" s="7"/>
      <c r="W7" s="7"/>
      <c r="X7" s="7"/>
      <c r="Y7" s="7"/>
    </row>
    <row r="8" spans="1:25" ht="5.25" customHeight="1" x14ac:dyDescent="0.2">
      <c r="A8" s="3"/>
      <c r="B8" s="8"/>
      <c r="C8" s="9"/>
      <c r="D8" s="10"/>
      <c r="E8" s="10"/>
      <c r="F8" s="10"/>
      <c r="G8" s="10"/>
      <c r="H8" s="10"/>
      <c r="I8" s="21"/>
      <c r="J8" s="22"/>
      <c r="K8" s="22"/>
      <c r="L8" s="22"/>
      <c r="M8" s="22"/>
      <c r="N8" s="22"/>
      <c r="O8" s="22"/>
      <c r="P8" s="23"/>
      <c r="Q8" s="3"/>
      <c r="R8" s="7"/>
      <c r="S8" s="7"/>
      <c r="T8" s="7"/>
      <c r="U8" s="7"/>
      <c r="V8" s="7"/>
      <c r="W8" s="7"/>
      <c r="X8" s="7"/>
      <c r="Y8" s="7"/>
    </row>
    <row r="9" spans="1:25" ht="15" customHeight="1" x14ac:dyDescent="0.2">
      <c r="A9" s="3"/>
      <c r="B9" s="15"/>
      <c r="C9" s="10"/>
      <c r="D9" s="10"/>
      <c r="E9" s="10"/>
      <c r="F9" s="10"/>
      <c r="G9" s="10"/>
      <c r="H9" s="24" t="s">
        <v>7</v>
      </c>
      <c r="I9" s="24" t="s">
        <v>8</v>
      </c>
      <c r="J9" s="24" t="s">
        <v>9</v>
      </c>
      <c r="K9" s="11"/>
      <c r="L9" s="24"/>
      <c r="M9" s="25" t="s">
        <v>7</v>
      </c>
      <c r="N9" s="26" t="s">
        <v>8</v>
      </c>
      <c r="O9" s="26" t="s">
        <v>9</v>
      </c>
      <c r="P9" s="27"/>
      <c r="Q9" s="3"/>
      <c r="R9" s="28"/>
      <c r="S9" s="28"/>
      <c r="T9" s="29"/>
      <c r="U9" s="30">
        <f>VLOOKUP(N10,'Stundensaetze PersonalUni'!F8:H20,3,FALSE)+1</f>
        <v>13</v>
      </c>
      <c r="V9" s="29">
        <f>+O10</f>
        <v>2020</v>
      </c>
      <c r="W9" s="31"/>
      <c r="X9" s="7"/>
      <c r="Y9" s="7"/>
    </row>
    <row r="10" spans="1:25" x14ac:dyDescent="0.2">
      <c r="A10" s="3"/>
      <c r="B10" s="8" t="s">
        <v>10</v>
      </c>
      <c r="C10" s="9" t="s">
        <v>11</v>
      </c>
      <c r="D10" s="10"/>
      <c r="E10" s="10"/>
      <c r="F10" s="10"/>
      <c r="G10" s="32" t="s">
        <v>12</v>
      </c>
      <c r="H10" s="33">
        <v>1</v>
      </c>
      <c r="I10" s="34" t="s">
        <v>13</v>
      </c>
      <c r="J10" s="35">
        <v>2020</v>
      </c>
      <c r="K10" s="17"/>
      <c r="L10" s="36" t="s">
        <v>14</v>
      </c>
      <c r="M10" s="33">
        <v>31</v>
      </c>
      <c r="N10" s="37" t="s">
        <v>15</v>
      </c>
      <c r="O10" s="35">
        <v>2020</v>
      </c>
      <c r="P10" s="38"/>
      <c r="R10" s="28"/>
      <c r="S10" s="28"/>
      <c r="T10" s="29"/>
      <c r="U10" s="30">
        <f>VLOOKUP(I10,'Stundensaetze PersonalUni'!F9:H20,3,FALSE)</f>
        <v>1</v>
      </c>
      <c r="V10" s="29">
        <f>+J10</f>
        <v>2020</v>
      </c>
      <c r="W10" s="31"/>
      <c r="X10" s="7"/>
      <c r="Y10" s="7"/>
    </row>
    <row r="11" spans="1:25" ht="6" customHeight="1" x14ac:dyDescent="0.2">
      <c r="A11" s="3"/>
      <c r="B11" s="8"/>
      <c r="C11" s="9"/>
      <c r="D11" s="10"/>
      <c r="E11" s="10"/>
      <c r="F11" s="10"/>
      <c r="G11" s="10"/>
      <c r="H11" s="10"/>
      <c r="I11" s="39"/>
      <c r="J11" s="40"/>
      <c r="K11" s="40"/>
      <c r="L11" s="40"/>
      <c r="M11" s="40"/>
      <c r="N11" s="40"/>
      <c r="O11" s="40"/>
      <c r="P11" s="16"/>
      <c r="Q11" s="3"/>
      <c r="R11" s="28"/>
      <c r="S11" s="28"/>
      <c r="T11" s="28"/>
      <c r="U11" s="28"/>
      <c r="V11" s="28"/>
      <c r="W11" s="31"/>
      <c r="X11" s="7"/>
      <c r="Y11" s="7"/>
    </row>
    <row r="12" spans="1:25" x14ac:dyDescent="0.2">
      <c r="A12" s="3"/>
      <c r="B12" s="8" t="s">
        <v>16</v>
      </c>
      <c r="C12" s="9" t="s">
        <v>17</v>
      </c>
      <c r="D12" s="10"/>
      <c r="E12" s="10"/>
      <c r="F12" s="10"/>
      <c r="G12" s="668" t="s">
        <v>146</v>
      </c>
      <c r="H12" s="669"/>
      <c r="I12" s="670"/>
      <c r="J12" s="39"/>
      <c r="K12" s="41" t="str">
        <f>IF(T12&lt;0,"Bitte Datum überprüfen","")</f>
        <v/>
      </c>
      <c r="L12" s="40"/>
      <c r="M12" s="40"/>
      <c r="N12" s="42"/>
      <c r="O12" s="42"/>
      <c r="P12" s="38"/>
      <c r="Q12" s="3"/>
      <c r="R12" s="28" t="s">
        <v>19</v>
      </c>
      <c r="S12" s="28"/>
      <c r="T12" s="29">
        <f>+U12+V12</f>
        <v>12</v>
      </c>
      <c r="U12" s="29">
        <f>+U9-U10</f>
        <v>12</v>
      </c>
      <c r="V12" s="29">
        <f>(+V9-V10)*12</f>
        <v>0</v>
      </c>
      <c r="W12" s="31"/>
      <c r="X12" s="7"/>
      <c r="Y12" s="7"/>
    </row>
    <row r="13" spans="1:25" ht="6" customHeight="1" x14ac:dyDescent="0.2">
      <c r="A13" s="3"/>
      <c r="B13" s="43"/>
      <c r="C13" s="44"/>
      <c r="D13" s="45"/>
      <c r="E13" s="45"/>
      <c r="F13" s="45"/>
      <c r="G13" s="45"/>
      <c r="H13" s="45"/>
      <c r="I13" s="46"/>
      <c r="J13" s="46"/>
      <c r="K13" s="46"/>
      <c r="L13" s="46"/>
      <c r="M13" s="46"/>
      <c r="N13" s="46"/>
      <c r="O13" s="46"/>
      <c r="P13" s="47"/>
      <c r="Q13" s="3"/>
      <c r="R13" s="7"/>
      <c r="S13" s="7"/>
      <c r="T13" s="7"/>
      <c r="U13" s="7"/>
      <c r="V13" s="7"/>
      <c r="W13" s="7"/>
      <c r="X13" s="7"/>
      <c r="Y13" s="7"/>
    </row>
    <row r="14" spans="1: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7"/>
      <c r="S14" s="7"/>
      <c r="T14" s="7"/>
      <c r="U14" s="7"/>
      <c r="V14" s="7"/>
      <c r="W14" s="7"/>
      <c r="X14" s="7"/>
      <c r="Y14" s="7"/>
    </row>
    <row r="15" spans="1:25" ht="6" customHeight="1" x14ac:dyDescent="0.2">
      <c r="A15" s="3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3"/>
      <c r="R15" s="7"/>
      <c r="S15" s="7"/>
      <c r="T15" s="7"/>
      <c r="U15" s="7"/>
      <c r="V15" s="7"/>
      <c r="W15" s="7"/>
      <c r="X15" s="7"/>
      <c r="Y15" s="7"/>
    </row>
    <row r="16" spans="1:25" s="53" customFormat="1" x14ac:dyDescent="0.2">
      <c r="A16" s="48"/>
      <c r="B16" s="49" t="s">
        <v>20</v>
      </c>
      <c r="C16" s="50" t="s">
        <v>21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  <c r="Q16" s="48"/>
      <c r="R16" s="7"/>
      <c r="S16" s="7"/>
      <c r="T16" s="7"/>
      <c r="U16" s="7"/>
      <c r="V16" s="7"/>
      <c r="W16" s="7"/>
      <c r="X16" s="7"/>
      <c r="Y16" s="7"/>
    </row>
    <row r="17" spans="1:17" s="53" customFormat="1" ht="6" customHeight="1" x14ac:dyDescent="0.2">
      <c r="A17" s="48"/>
      <c r="B17" s="5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48"/>
    </row>
    <row r="18" spans="1:17" s="53" customFormat="1" x14ac:dyDescent="0.2">
      <c r="A18" s="48"/>
      <c r="B18" s="54"/>
      <c r="C18" s="55" t="s">
        <v>22</v>
      </c>
      <c r="D18" s="50" t="s">
        <v>23</v>
      </c>
      <c r="E18" s="51"/>
      <c r="F18" s="56"/>
      <c r="G18" s="56"/>
      <c r="H18" s="57" t="s">
        <v>24</v>
      </c>
      <c r="I18" s="58"/>
      <c r="J18" s="56"/>
      <c r="K18" s="59" t="s">
        <v>25</v>
      </c>
      <c r="L18" s="60"/>
      <c r="M18" s="60" t="str">
        <f>IF($H$12="ja","Betrag brutto","")</f>
        <v/>
      </c>
      <c r="N18" s="56"/>
      <c r="O18" s="56"/>
      <c r="P18" s="52"/>
      <c r="Q18" s="48"/>
    </row>
    <row r="19" spans="1:17" s="53" customFormat="1" x14ac:dyDescent="0.2">
      <c r="A19" s="48"/>
      <c r="B19" s="54"/>
      <c r="C19" s="51"/>
      <c r="D19" s="61"/>
      <c r="E19" s="62"/>
      <c r="F19" s="56"/>
      <c r="G19" s="56"/>
      <c r="H19" s="58"/>
      <c r="I19" s="63"/>
      <c r="J19" s="56"/>
      <c r="K19" s="56"/>
      <c r="L19" s="56"/>
      <c r="M19" s="56"/>
      <c r="N19" s="56"/>
      <c r="O19" s="56"/>
      <c r="P19" s="52"/>
      <c r="Q19" s="48"/>
    </row>
    <row r="20" spans="1:17" s="53" customFormat="1" x14ac:dyDescent="0.2">
      <c r="A20" s="48"/>
      <c r="B20" s="54"/>
      <c r="C20" s="51"/>
      <c r="D20" s="61"/>
      <c r="E20" s="56"/>
      <c r="F20" s="56"/>
      <c r="G20" s="56"/>
      <c r="H20" s="56"/>
      <c r="I20" s="64"/>
      <c r="J20" s="65"/>
      <c r="K20" s="66"/>
      <c r="L20" s="66"/>
      <c r="M20" s="67"/>
      <c r="N20" s="51"/>
      <c r="O20" s="51"/>
      <c r="P20" s="52"/>
      <c r="Q20" s="48"/>
    </row>
    <row r="21" spans="1:17" s="53" customFormat="1" x14ac:dyDescent="0.2">
      <c r="A21" s="48"/>
      <c r="B21" s="54"/>
      <c r="C21" s="51"/>
      <c r="D21" s="61"/>
      <c r="E21" s="50" t="s">
        <v>26</v>
      </c>
      <c r="F21" s="68"/>
      <c r="G21" s="671"/>
      <c r="H21" s="672"/>
      <c r="I21" s="69">
        <v>0.19</v>
      </c>
      <c r="J21" s="70"/>
      <c r="K21" s="71">
        <f>SUM(G21+(G21*I21))</f>
        <v>0</v>
      </c>
      <c r="L21" s="56"/>
      <c r="M21" s="62"/>
      <c r="N21" s="51"/>
      <c r="O21" s="51"/>
      <c r="P21" s="52"/>
      <c r="Q21" s="48"/>
    </row>
    <row r="22" spans="1:17" s="53" customFormat="1" x14ac:dyDescent="0.2">
      <c r="A22" s="48"/>
      <c r="B22" s="54"/>
      <c r="C22" s="51"/>
      <c r="D22" s="61"/>
      <c r="E22" s="62"/>
      <c r="F22" s="56"/>
      <c r="G22" s="56"/>
      <c r="H22" s="65"/>
      <c r="I22" s="56"/>
      <c r="J22" s="72"/>
      <c r="K22" s="56"/>
      <c r="L22" s="56"/>
      <c r="M22" s="67"/>
      <c r="N22" s="51"/>
      <c r="O22" s="51"/>
      <c r="P22" s="52"/>
      <c r="Q22" s="48"/>
    </row>
    <row r="23" spans="1:17" s="53" customFormat="1" x14ac:dyDescent="0.2">
      <c r="A23" s="48"/>
      <c r="B23" s="54"/>
      <c r="C23" s="51"/>
      <c r="D23" s="61"/>
      <c r="E23" s="50" t="s">
        <v>27</v>
      </c>
      <c r="F23" s="68"/>
      <c r="G23" s="671"/>
      <c r="H23" s="672"/>
      <c r="I23" s="69">
        <v>0.19</v>
      </c>
      <c r="J23" s="70"/>
      <c r="K23" s="71">
        <f>SUM(G23+(G23*I23))</f>
        <v>0</v>
      </c>
      <c r="L23" s="56"/>
      <c r="M23" s="62"/>
      <c r="N23" s="51"/>
      <c r="O23" s="51"/>
      <c r="P23" s="52"/>
      <c r="Q23" s="48"/>
    </row>
    <row r="24" spans="1:17" s="53" customFormat="1" x14ac:dyDescent="0.2">
      <c r="A24" s="48"/>
      <c r="B24" s="54"/>
      <c r="C24" s="51"/>
      <c r="D24" s="61"/>
      <c r="E24" s="62"/>
      <c r="F24" s="56"/>
      <c r="G24" s="56"/>
      <c r="H24" s="65"/>
      <c r="I24" s="56"/>
      <c r="J24" s="70"/>
      <c r="K24" s="56"/>
      <c r="L24" s="56"/>
      <c r="M24" s="67"/>
      <c r="N24" s="51"/>
      <c r="O24" s="51"/>
      <c r="P24" s="52"/>
      <c r="Q24" s="48"/>
    </row>
    <row r="25" spans="1:17" s="53" customFormat="1" x14ac:dyDescent="0.2">
      <c r="A25" s="48"/>
      <c r="B25" s="54"/>
      <c r="C25" s="51"/>
      <c r="D25" s="61"/>
      <c r="E25" s="50" t="s">
        <v>28</v>
      </c>
      <c r="F25" s="56"/>
      <c r="G25" s="671"/>
      <c r="H25" s="672"/>
      <c r="I25" s="69">
        <v>0.19</v>
      </c>
      <c r="J25" s="70"/>
      <c r="K25" s="71">
        <f>SUM(G25+(G25*I25))</f>
        <v>0</v>
      </c>
      <c r="L25" s="56"/>
      <c r="M25" s="67"/>
      <c r="N25" s="51"/>
      <c r="O25" s="51"/>
      <c r="P25" s="52"/>
      <c r="Q25" s="48"/>
    </row>
    <row r="26" spans="1:17" s="53" customFormat="1" x14ac:dyDescent="0.2">
      <c r="A26" s="48"/>
      <c r="B26" s="54"/>
      <c r="C26" s="51"/>
      <c r="D26" s="61"/>
      <c r="E26" s="62"/>
      <c r="F26" s="56"/>
      <c r="G26" s="56"/>
      <c r="H26" s="65"/>
      <c r="I26" s="56"/>
      <c r="J26" s="70"/>
      <c r="K26" s="56"/>
      <c r="L26" s="56"/>
      <c r="M26" s="67"/>
      <c r="N26" s="51"/>
      <c r="O26" s="51"/>
      <c r="P26" s="52"/>
      <c r="Q26" s="48"/>
    </row>
    <row r="27" spans="1:17" s="53" customFormat="1" x14ac:dyDescent="0.2">
      <c r="A27" s="48"/>
      <c r="B27" s="54"/>
      <c r="C27" s="51"/>
      <c r="D27" s="61"/>
      <c r="E27" s="50" t="s">
        <v>29</v>
      </c>
      <c r="F27" s="68"/>
      <c r="G27" s="671"/>
      <c r="H27" s="672"/>
      <c r="I27" s="69">
        <v>0.19</v>
      </c>
      <c r="J27" s="70"/>
      <c r="K27" s="71">
        <f>SUM(G27+(G27*I27))</f>
        <v>0</v>
      </c>
      <c r="L27" s="56"/>
      <c r="M27" s="62"/>
      <c r="N27" s="51"/>
      <c r="O27" s="51"/>
      <c r="P27" s="52"/>
      <c r="Q27" s="48"/>
    </row>
    <row r="28" spans="1:17" s="53" customFormat="1" x14ac:dyDescent="0.2">
      <c r="A28" s="48"/>
      <c r="B28" s="54"/>
      <c r="C28" s="51"/>
      <c r="D28" s="61"/>
      <c r="E28" s="62"/>
      <c r="F28" s="56"/>
      <c r="G28" s="56"/>
      <c r="H28" s="65"/>
      <c r="I28" s="56"/>
      <c r="J28" s="70"/>
      <c r="K28" s="56"/>
      <c r="L28" s="56"/>
      <c r="M28" s="67"/>
      <c r="N28" s="51"/>
      <c r="O28" s="51"/>
      <c r="P28" s="52"/>
      <c r="Q28" s="48"/>
    </row>
    <row r="29" spans="1:17" s="53" customFormat="1" x14ac:dyDescent="0.2">
      <c r="A29" s="48"/>
      <c r="B29" s="54"/>
      <c r="C29" s="51"/>
      <c r="D29" s="61"/>
      <c r="E29" s="50" t="s">
        <v>30</v>
      </c>
      <c r="F29" s="68"/>
      <c r="G29" s="671"/>
      <c r="H29" s="672"/>
      <c r="I29" s="69">
        <v>0.19</v>
      </c>
      <c r="J29" s="70"/>
      <c r="K29" s="71">
        <f>SUM(G29+(G29*I29))</f>
        <v>0</v>
      </c>
      <c r="L29" s="56"/>
      <c r="M29" s="62"/>
      <c r="N29" s="51"/>
      <c r="O29" s="51"/>
      <c r="P29" s="52"/>
      <c r="Q29" s="48"/>
    </row>
    <row r="30" spans="1:17" s="53" customFormat="1" x14ac:dyDescent="0.2">
      <c r="A30" s="48"/>
      <c r="B30" s="54"/>
      <c r="C30" s="51"/>
      <c r="D30" s="61"/>
      <c r="E30" s="62"/>
      <c r="F30" s="56"/>
      <c r="G30" s="56"/>
      <c r="H30" s="65"/>
      <c r="I30" s="56"/>
      <c r="J30" s="70"/>
      <c r="K30" s="56"/>
      <c r="L30" s="56"/>
      <c r="M30" s="67"/>
      <c r="N30" s="51"/>
      <c r="O30" s="51"/>
      <c r="P30" s="52"/>
      <c r="Q30" s="48"/>
    </row>
    <row r="31" spans="1:17" s="53" customFormat="1" x14ac:dyDescent="0.2">
      <c r="A31" s="48"/>
      <c r="B31" s="54"/>
      <c r="C31" s="51"/>
      <c r="D31" s="61"/>
      <c r="E31" s="50" t="s">
        <v>31</v>
      </c>
      <c r="F31" s="68"/>
      <c r="G31" s="671"/>
      <c r="H31" s="672"/>
      <c r="I31" s="69">
        <v>0.19</v>
      </c>
      <c r="J31" s="70"/>
      <c r="K31" s="71">
        <f>SUM(G31+(G31*I31))</f>
        <v>0</v>
      </c>
      <c r="L31" s="56"/>
      <c r="M31" s="62"/>
      <c r="N31" s="51"/>
      <c r="O31" s="51"/>
      <c r="P31" s="52"/>
      <c r="Q31" s="48"/>
    </row>
    <row r="32" spans="1:17" s="53" customFormat="1" x14ac:dyDescent="0.2">
      <c r="A32" s="48"/>
      <c r="B32" s="54"/>
      <c r="C32" s="51"/>
      <c r="D32" s="51"/>
      <c r="E32" s="51"/>
      <c r="F32" s="56"/>
      <c r="G32" s="56"/>
      <c r="H32" s="51"/>
      <c r="I32" s="73"/>
      <c r="J32" s="74"/>
      <c r="K32" s="72"/>
      <c r="L32" s="72"/>
      <c r="M32" s="51"/>
      <c r="N32" s="51"/>
      <c r="O32" s="51"/>
      <c r="P32" s="52"/>
      <c r="Q32" s="48"/>
    </row>
    <row r="33" spans="1:23" s="53" customFormat="1" ht="6" customHeight="1" x14ac:dyDescent="0.2">
      <c r="A33" s="48"/>
      <c r="B33" s="54"/>
      <c r="C33" s="51"/>
      <c r="D33" s="51"/>
      <c r="E33" s="51"/>
      <c r="F33" s="51"/>
      <c r="G33" s="51"/>
      <c r="H33" s="51"/>
      <c r="I33" s="75"/>
      <c r="J33" s="74"/>
      <c r="K33" s="51"/>
      <c r="L33" s="51"/>
      <c r="M33" s="51"/>
      <c r="N33" s="51"/>
      <c r="O33" s="51"/>
      <c r="P33" s="52"/>
      <c r="Q33" s="48"/>
    </row>
    <row r="34" spans="1:23" s="53" customFormat="1" x14ac:dyDescent="0.2">
      <c r="A34" s="48"/>
      <c r="B34" s="54"/>
      <c r="C34" s="76" t="s">
        <v>32</v>
      </c>
      <c r="D34" s="77"/>
      <c r="E34" s="77"/>
      <c r="F34" s="77"/>
      <c r="G34" s="77"/>
      <c r="H34" s="78">
        <f>G21+G23+G25+G27+G29+G31</f>
        <v>0</v>
      </c>
      <c r="I34" s="78"/>
      <c r="J34" s="79"/>
      <c r="K34" s="80"/>
      <c r="L34" s="77"/>
      <c r="M34" s="10"/>
      <c r="N34" s="51"/>
      <c r="O34" s="51"/>
      <c r="P34" s="52"/>
      <c r="Q34" s="48"/>
    </row>
    <row r="35" spans="1:23" ht="6" customHeight="1" x14ac:dyDescent="0.2">
      <c r="A35" s="3"/>
      <c r="B35" s="81"/>
      <c r="C35" s="82"/>
      <c r="D35" s="82"/>
      <c r="E35" s="83"/>
      <c r="F35" s="83"/>
      <c r="G35" s="83"/>
      <c r="H35" s="83"/>
      <c r="I35" s="45"/>
      <c r="J35" s="45"/>
      <c r="K35" s="45"/>
      <c r="L35" s="45"/>
      <c r="M35" s="45"/>
      <c r="N35" s="45"/>
      <c r="O35" s="45"/>
      <c r="P35" s="47"/>
      <c r="Q35" s="3"/>
      <c r="W35" s="84"/>
    </row>
    <row r="36" spans="1:23" x14ac:dyDescent="0.2">
      <c r="A36" s="3"/>
      <c r="B36" s="10"/>
      <c r="C36" s="85"/>
      <c r="D36" s="85"/>
      <c r="E36" s="86"/>
      <c r="F36" s="86"/>
      <c r="G36" s="86"/>
      <c r="H36" s="86"/>
      <c r="I36" s="10"/>
      <c r="J36" s="10"/>
      <c r="K36" s="10"/>
      <c r="L36" s="10"/>
      <c r="M36" s="87"/>
      <c r="N36" s="10"/>
      <c r="O36" s="10"/>
      <c r="P36" s="10"/>
      <c r="Q36" s="3"/>
    </row>
    <row r="37" spans="1:23" ht="6" customHeight="1" x14ac:dyDescent="0.2">
      <c r="A37" s="3"/>
      <c r="B37" s="4"/>
      <c r="C37" s="88"/>
      <c r="D37" s="88"/>
      <c r="E37" s="89"/>
      <c r="F37" s="89"/>
      <c r="G37" s="89"/>
      <c r="H37" s="89"/>
      <c r="I37" s="5"/>
      <c r="J37" s="5"/>
      <c r="K37" s="5"/>
      <c r="L37" s="5"/>
      <c r="M37" s="90" t="str">
        <f>IF($H$12="ja","Betrag brutto","")</f>
        <v/>
      </c>
      <c r="N37" s="5"/>
      <c r="O37" s="5"/>
      <c r="P37" s="6"/>
      <c r="Q37" s="3"/>
    </row>
    <row r="38" spans="1:23" ht="6" customHeight="1" x14ac:dyDescent="0.2">
      <c r="A38" s="3"/>
      <c r="B38" s="15"/>
      <c r="C38" s="85"/>
      <c r="D38" s="85"/>
      <c r="E38" s="86"/>
      <c r="F38" s="86"/>
      <c r="G38" s="86"/>
      <c r="H38" s="86"/>
      <c r="I38" s="10"/>
      <c r="J38" s="10"/>
      <c r="K38" s="10"/>
      <c r="L38" s="10"/>
      <c r="M38" s="90"/>
      <c r="N38" s="10"/>
      <c r="O38" s="10"/>
      <c r="P38" s="16"/>
      <c r="Q38" s="3"/>
    </row>
    <row r="39" spans="1:23" x14ac:dyDescent="0.2">
      <c r="A39" s="3"/>
      <c r="B39" s="15"/>
      <c r="C39" s="91" t="s">
        <v>33</v>
      </c>
      <c r="D39" s="9" t="s">
        <v>34</v>
      </c>
      <c r="E39" s="92"/>
      <c r="F39" s="92"/>
      <c r="G39" s="92"/>
      <c r="H39" s="57" t="s">
        <v>24</v>
      </c>
      <c r="I39" s="1"/>
      <c r="J39" s="1"/>
      <c r="K39" s="93"/>
      <c r="L39" s="93"/>
      <c r="M39" s="94"/>
      <c r="N39" s="17"/>
      <c r="O39" s="10"/>
      <c r="P39" s="16"/>
      <c r="Q39" s="3"/>
    </row>
    <row r="40" spans="1:23" ht="13.5" customHeight="1" x14ac:dyDescent="0.2">
      <c r="A40" s="3"/>
      <c r="B40" s="15"/>
      <c r="C40" s="10"/>
      <c r="D40" s="85" t="s">
        <v>35</v>
      </c>
      <c r="E40" s="85"/>
      <c r="F40" s="85"/>
      <c r="G40" s="85"/>
      <c r="H40" s="85"/>
      <c r="I40" s="86"/>
      <c r="J40" s="10"/>
      <c r="K40" s="10"/>
      <c r="L40" s="10"/>
      <c r="M40" s="95"/>
      <c r="N40" s="10"/>
      <c r="O40" s="10"/>
      <c r="P40" s="16"/>
      <c r="Q40" s="3"/>
    </row>
    <row r="41" spans="1:23" ht="6" customHeight="1" x14ac:dyDescent="0.2">
      <c r="A41" s="3"/>
      <c r="B41" s="15"/>
      <c r="C41" s="10"/>
      <c r="D41" s="85"/>
      <c r="E41" s="85"/>
      <c r="F41" s="85"/>
      <c r="G41" s="85"/>
      <c r="H41" s="85"/>
      <c r="I41" s="86"/>
      <c r="J41" s="10"/>
      <c r="K41" s="10"/>
      <c r="L41" s="10"/>
      <c r="M41" s="95"/>
      <c r="N41" s="10"/>
      <c r="O41" s="10"/>
      <c r="P41" s="16"/>
      <c r="Q41" s="3"/>
    </row>
    <row r="42" spans="1:23" ht="15.2" customHeight="1" x14ac:dyDescent="0.2">
      <c r="A42" s="3"/>
      <c r="B42" s="15"/>
      <c r="C42" s="10"/>
      <c r="D42" s="85" t="s">
        <v>36</v>
      </c>
      <c r="E42" s="85"/>
      <c r="F42" s="85"/>
      <c r="G42" s="661">
        <f>+Investitionen!I40</f>
        <v>0</v>
      </c>
      <c r="H42" s="661"/>
      <c r="I42" s="96"/>
      <c r="K42" s="95"/>
      <c r="L42" s="10"/>
      <c r="M42" s="95"/>
      <c r="N42" s="10"/>
      <c r="O42" s="10"/>
      <c r="P42" s="16"/>
      <c r="Q42" s="3"/>
    </row>
    <row r="43" spans="1:23" x14ac:dyDescent="0.2">
      <c r="A43" s="3"/>
      <c r="B43" s="15"/>
      <c r="C43" s="10"/>
      <c r="D43" s="85"/>
      <c r="E43" s="85"/>
      <c r="F43" s="85"/>
      <c r="G43" s="85"/>
      <c r="H43" s="85"/>
      <c r="I43" s="86"/>
      <c r="J43" s="10"/>
      <c r="K43" s="10"/>
      <c r="L43" s="10"/>
      <c r="M43" s="95"/>
      <c r="N43" s="10"/>
      <c r="O43" s="10"/>
      <c r="P43" s="16"/>
      <c r="Q43" s="3"/>
    </row>
    <row r="44" spans="1:23" ht="6" customHeight="1" x14ac:dyDescent="0.2">
      <c r="A44" s="3"/>
      <c r="B44" s="15"/>
      <c r="C44" s="10"/>
      <c r="D44" s="85"/>
      <c r="E44" s="85"/>
      <c r="F44" s="85"/>
      <c r="G44" s="85"/>
      <c r="H44" s="85"/>
      <c r="I44" s="86"/>
      <c r="J44" s="10"/>
      <c r="K44" s="10"/>
      <c r="L44" s="10"/>
      <c r="M44" s="95"/>
      <c r="N44" s="10"/>
      <c r="O44" s="10"/>
      <c r="P44" s="16"/>
      <c r="Q44" s="3"/>
    </row>
    <row r="45" spans="1:23" x14ac:dyDescent="0.2">
      <c r="A45" s="3"/>
      <c r="B45" s="15"/>
      <c r="C45" s="97" t="s">
        <v>37</v>
      </c>
      <c r="D45" s="98"/>
      <c r="E45" s="99"/>
      <c r="F45" s="99"/>
      <c r="G45" s="653">
        <f>G42</f>
        <v>0</v>
      </c>
      <c r="H45" s="653"/>
      <c r="I45" s="78"/>
      <c r="J45" s="100"/>
      <c r="K45" s="99"/>
      <c r="L45" s="99"/>
      <c r="M45" s="95"/>
      <c r="N45" s="10"/>
      <c r="O45" s="10"/>
      <c r="P45" s="16"/>
      <c r="Q45" s="3"/>
    </row>
    <row r="46" spans="1:23" ht="6" customHeight="1" x14ac:dyDescent="0.2">
      <c r="A46" s="3"/>
      <c r="B46" s="81"/>
      <c r="C46" s="45"/>
      <c r="D46" s="82"/>
      <c r="E46" s="82"/>
      <c r="F46" s="82"/>
      <c r="G46" s="82"/>
      <c r="H46" s="82"/>
      <c r="I46" s="83"/>
      <c r="J46" s="45"/>
      <c r="K46" s="45"/>
      <c r="L46" s="45"/>
      <c r="M46" s="45"/>
      <c r="N46" s="45"/>
      <c r="O46" s="45"/>
      <c r="P46" s="47"/>
      <c r="Q46" s="3"/>
    </row>
    <row r="47" spans="1:23" x14ac:dyDescent="0.2">
      <c r="A47" s="3"/>
      <c r="B47" s="10"/>
      <c r="C47" s="10"/>
      <c r="D47" s="85"/>
      <c r="E47" s="85"/>
      <c r="F47" s="85"/>
      <c r="G47" s="85"/>
      <c r="H47" s="85"/>
      <c r="I47" s="86"/>
      <c r="J47" s="10"/>
      <c r="K47" s="10"/>
      <c r="L47" s="10"/>
      <c r="M47" s="10"/>
      <c r="N47" s="10"/>
      <c r="O47" s="10"/>
      <c r="P47" s="10"/>
      <c r="Q47" s="3"/>
    </row>
    <row r="48" spans="1:23" ht="6" customHeight="1" x14ac:dyDescent="0.2">
      <c r="A48" s="3"/>
      <c r="B48" s="4"/>
      <c r="C48" s="5"/>
      <c r="D48" s="88"/>
      <c r="E48" s="88"/>
      <c r="F48" s="88"/>
      <c r="G48" s="88"/>
      <c r="H48" s="88"/>
      <c r="I48" s="89"/>
      <c r="J48" s="5"/>
      <c r="K48" s="5"/>
      <c r="L48" s="5"/>
      <c r="M48" s="5"/>
      <c r="N48" s="5"/>
      <c r="O48" s="5"/>
      <c r="P48" s="6"/>
      <c r="Q48" s="3"/>
    </row>
    <row r="49" spans="1:21" x14ac:dyDescent="0.2">
      <c r="A49" s="3"/>
      <c r="B49" s="15"/>
      <c r="C49" s="91" t="s">
        <v>38</v>
      </c>
      <c r="D49" s="9" t="s">
        <v>39</v>
      </c>
      <c r="E49" s="85"/>
      <c r="F49" s="85"/>
      <c r="G49" s="85"/>
      <c r="H49" s="85"/>
      <c r="I49" s="86"/>
      <c r="J49" s="10"/>
      <c r="K49" s="10"/>
      <c r="L49" s="10"/>
      <c r="M49" s="10"/>
      <c r="N49" s="10"/>
      <c r="O49" s="10"/>
      <c r="P49" s="16"/>
      <c r="Q49" s="3"/>
    </row>
    <row r="50" spans="1:21" s="108" customFormat="1" ht="24" customHeight="1" x14ac:dyDescent="0.2">
      <c r="A50" s="101"/>
      <c r="B50" s="102"/>
      <c r="C50" s="103"/>
      <c r="D50" s="104" t="s">
        <v>40</v>
      </c>
      <c r="E50" s="39"/>
      <c r="F50" s="39"/>
      <c r="G50" s="39"/>
      <c r="H50" s="39"/>
      <c r="I50" s="105"/>
      <c r="J50" s="105"/>
      <c r="K50" s="105"/>
      <c r="L50" s="105"/>
      <c r="M50" s="105"/>
      <c r="N50" s="105"/>
      <c r="O50" s="106"/>
      <c r="P50" s="107"/>
      <c r="Q50" s="101"/>
      <c r="S50" s="630" t="s">
        <v>384</v>
      </c>
    </row>
    <row r="51" spans="1:21" s="120" customFormat="1" ht="34.5" customHeight="1" x14ac:dyDescent="0.2">
      <c r="A51" s="109"/>
      <c r="B51" s="110"/>
      <c r="C51" s="111"/>
      <c r="D51" s="111"/>
      <c r="E51" s="112"/>
      <c r="F51" s="112"/>
      <c r="G51" s="112"/>
      <c r="H51" s="113" t="s">
        <v>41</v>
      </c>
      <c r="I51" s="114" t="s">
        <v>42</v>
      </c>
      <c r="J51" s="115"/>
      <c r="K51" s="116" t="s">
        <v>43</v>
      </c>
      <c r="L51" s="117"/>
      <c r="M51" s="654" t="s">
        <v>44</v>
      </c>
      <c r="N51" s="654"/>
      <c r="O51" s="118"/>
      <c r="P51" s="119" t="s">
        <v>45</v>
      </c>
      <c r="Q51" s="109"/>
      <c r="T51" s="629" t="s">
        <v>386</v>
      </c>
      <c r="U51" s="629" t="s">
        <v>385</v>
      </c>
    </row>
    <row r="52" spans="1:21" x14ac:dyDescent="0.2">
      <c r="A52" s="3"/>
      <c r="B52" s="15"/>
      <c r="C52" s="85"/>
      <c r="D52" s="85"/>
      <c r="E52" s="121" t="s">
        <v>46</v>
      </c>
      <c r="F52" s="122"/>
      <c r="G52" s="122"/>
      <c r="H52" s="123"/>
      <c r="I52" s="124"/>
      <c r="J52" s="17"/>
      <c r="K52" s="125"/>
      <c r="L52" s="126"/>
      <c r="M52" s="655">
        <f>IF(T52&lt;&gt;"",P52/I52,IF(K52="",0,VLOOKUP(K52,'Stundensaetze PersonalUni'!$A$2:$D$39,4,FALSE)))</f>
        <v>0</v>
      </c>
      <c r="N52" s="655"/>
      <c r="O52" s="631" t="str">
        <f>IF(T52&lt;&gt;0,"IST-Kosten","")</f>
        <v/>
      </c>
      <c r="P52" s="128">
        <f>IF(T52="",H52*I52*M52,T52)</f>
        <v>0</v>
      </c>
      <c r="Q52" s="3"/>
      <c r="S52" s="121" t="s">
        <v>46</v>
      </c>
      <c r="T52" s="635"/>
      <c r="U52" s="636"/>
    </row>
    <row r="53" spans="1:21" x14ac:dyDescent="0.2">
      <c r="A53" s="3"/>
      <c r="B53" s="15"/>
      <c r="C53" s="10"/>
      <c r="D53" s="85"/>
      <c r="E53" s="121" t="s">
        <v>47</v>
      </c>
      <c r="F53" s="122"/>
      <c r="G53" s="122"/>
      <c r="H53" s="123"/>
      <c r="I53" s="124"/>
      <c r="J53" s="17"/>
      <c r="K53" s="125"/>
      <c r="L53" s="126"/>
      <c r="M53" s="655">
        <f>IF(K53="",0,VLOOKUP(K53,'Stundensaetze PersonalUni'!$A$1:$D$39,4,FALSE))</f>
        <v>0</v>
      </c>
      <c r="N53" s="655"/>
      <c r="O53" s="631" t="str">
        <f t="shared" ref="O53:O54" si="0">IF(T53&lt;&gt;0,"IST-Kosten","")</f>
        <v/>
      </c>
      <c r="P53" s="128">
        <f t="shared" ref="P53:P54" si="1">IF(T53="",H53*I53*M53,T53)</f>
        <v>0</v>
      </c>
      <c r="Q53" s="3"/>
      <c r="S53" s="121" t="s">
        <v>47</v>
      </c>
      <c r="T53" s="636"/>
      <c r="U53" s="635"/>
    </row>
    <row r="54" spans="1:21" x14ac:dyDescent="0.2">
      <c r="A54" s="3"/>
      <c r="B54" s="15"/>
      <c r="C54" s="10"/>
      <c r="D54" s="85"/>
      <c r="E54" s="121" t="s">
        <v>48</v>
      </c>
      <c r="F54" s="122"/>
      <c r="G54" s="122"/>
      <c r="H54" s="123"/>
      <c r="I54" s="130"/>
      <c r="J54" s="17"/>
      <c r="K54" s="125"/>
      <c r="L54" s="126"/>
      <c r="M54" s="655">
        <f>IF(K54="",0,VLOOKUP(K54,'Stundensaetze PersonalUni'!$A$1:$D$39,4,FALSE))</f>
        <v>0</v>
      </c>
      <c r="N54" s="655"/>
      <c r="O54" s="631" t="str">
        <f t="shared" si="0"/>
        <v/>
      </c>
      <c r="P54" s="128">
        <f t="shared" si="1"/>
        <v>0</v>
      </c>
      <c r="Q54" s="3"/>
      <c r="S54" s="121" t="s">
        <v>48</v>
      </c>
      <c r="T54" s="636"/>
      <c r="U54" s="635"/>
    </row>
    <row r="55" spans="1:21" s="120" customFormat="1" ht="43.5" customHeight="1" x14ac:dyDescent="0.2">
      <c r="A55" s="109"/>
      <c r="B55" s="110"/>
      <c r="C55" s="111"/>
      <c r="D55" s="111"/>
      <c r="E55" s="112"/>
      <c r="F55" s="112"/>
      <c r="G55" s="112"/>
      <c r="H55" s="116" t="s">
        <v>49</v>
      </c>
      <c r="I55" s="116" t="s">
        <v>50</v>
      </c>
      <c r="J55" s="113" t="s">
        <v>51</v>
      </c>
      <c r="K55" s="116" t="s">
        <v>43</v>
      </c>
      <c r="L55" s="113"/>
      <c r="M55" s="654" t="s">
        <v>52</v>
      </c>
      <c r="N55" s="654"/>
      <c r="O55" s="118"/>
      <c r="P55" s="119"/>
      <c r="Q55" s="109"/>
    </row>
    <row r="56" spans="1:21" x14ac:dyDescent="0.2">
      <c r="A56" s="3"/>
      <c r="B56" s="15"/>
      <c r="C56" s="10"/>
      <c r="D56" s="85"/>
      <c r="E56" s="121" t="s">
        <v>53</v>
      </c>
      <c r="F56" s="85"/>
      <c r="G56" s="85"/>
      <c r="H56" s="132"/>
      <c r="I56" s="124"/>
      <c r="J56" s="126">
        <f>H56*I56</f>
        <v>0</v>
      </c>
      <c r="K56" s="125"/>
      <c r="L56" s="126"/>
      <c r="M56" s="133"/>
      <c r="N56" s="133">
        <f>IF(K56="",0,VLOOKUP(K56,'Stundensaetze PersonalUni'!$A$1:$C$41,3,FALSE))</f>
        <v>0</v>
      </c>
      <c r="O56" s="127"/>
      <c r="P56" s="128">
        <f>J56*N56</f>
        <v>0</v>
      </c>
      <c r="Q56" s="3"/>
    </row>
    <row r="57" spans="1:21" x14ac:dyDescent="0.2">
      <c r="A57" s="3"/>
      <c r="B57" s="15"/>
      <c r="C57" s="10"/>
      <c r="D57" s="85"/>
      <c r="E57" s="121" t="s">
        <v>54</v>
      </c>
      <c r="F57" s="85"/>
      <c r="G57" s="85"/>
      <c r="H57" s="132"/>
      <c r="I57" s="124"/>
      <c r="J57" s="126">
        <f>H57*I57</f>
        <v>0</v>
      </c>
      <c r="K57" s="125"/>
      <c r="L57" s="126"/>
      <c r="M57" s="133"/>
      <c r="N57" s="133">
        <f>IF(K57="",0,VLOOKUP(K57,'Stundensaetze PersonalUni'!$A$1:$C$41,3,FALSE))</f>
        <v>0</v>
      </c>
      <c r="O57" s="127"/>
      <c r="P57" s="128">
        <f>J57*N57</f>
        <v>0</v>
      </c>
      <c r="Q57" s="3"/>
    </row>
    <row r="58" spans="1:21" x14ac:dyDescent="0.2">
      <c r="A58" s="3"/>
      <c r="B58" s="15"/>
      <c r="C58" s="10"/>
      <c r="D58" s="85"/>
      <c r="E58" s="85"/>
      <c r="F58" s="85"/>
      <c r="G58" s="85"/>
      <c r="H58" s="85"/>
      <c r="I58" s="24"/>
      <c r="J58" s="134"/>
      <c r="K58" s="24"/>
      <c r="L58" s="126"/>
      <c r="M58" s="133"/>
      <c r="N58" s="133"/>
      <c r="O58" s="127"/>
      <c r="P58" s="135">
        <f>SUM(P52:P57)</f>
        <v>0</v>
      </c>
      <c r="Q58" s="3"/>
    </row>
    <row r="59" spans="1:21" x14ac:dyDescent="0.2">
      <c r="A59" s="3"/>
      <c r="B59" s="15"/>
      <c r="C59" s="10"/>
      <c r="D59" s="85"/>
      <c r="E59" s="85"/>
      <c r="F59" s="85"/>
      <c r="G59" s="85"/>
      <c r="H59" s="85"/>
      <c r="I59" s="24"/>
      <c r="J59" s="134"/>
      <c r="K59" s="1"/>
      <c r="L59" s="24"/>
      <c r="M59" s="136"/>
      <c r="N59" s="105"/>
      <c r="O59" s="137"/>
      <c r="P59" s="138"/>
      <c r="Q59" s="3"/>
    </row>
    <row r="60" spans="1:21" x14ac:dyDescent="0.2">
      <c r="A60" s="3"/>
      <c r="B60" s="15"/>
      <c r="C60" s="10"/>
      <c r="D60" s="139" t="s">
        <v>55</v>
      </c>
      <c r="E60" s="85"/>
      <c r="F60" s="85"/>
      <c r="G60" s="85"/>
      <c r="H60" s="85"/>
      <c r="I60" s="24"/>
      <c r="J60" s="24"/>
      <c r="K60" s="1"/>
      <c r="L60" s="24"/>
      <c r="M60" s="136"/>
      <c r="N60" s="133"/>
      <c r="O60" s="137"/>
      <c r="P60" s="138"/>
      <c r="Q60" s="3"/>
    </row>
    <row r="61" spans="1:21" s="120" customFormat="1" ht="43.5" customHeight="1" x14ac:dyDescent="0.2">
      <c r="A61" s="109"/>
      <c r="B61" s="110"/>
      <c r="C61" s="111"/>
      <c r="D61" s="111"/>
      <c r="E61" s="112"/>
      <c r="F61" s="112"/>
      <c r="G61" s="112"/>
      <c r="H61" s="116" t="s">
        <v>49</v>
      </c>
      <c r="I61" s="116" t="s">
        <v>50</v>
      </c>
      <c r="J61" s="113" t="s">
        <v>51</v>
      </c>
      <c r="K61" s="116" t="s">
        <v>43</v>
      </c>
      <c r="L61" s="113"/>
      <c r="M61" s="654" t="s">
        <v>52</v>
      </c>
      <c r="N61" s="654"/>
      <c r="O61" s="118"/>
      <c r="P61" s="119" t="s">
        <v>45</v>
      </c>
      <c r="Q61" s="109"/>
    </row>
    <row r="62" spans="1:21" x14ac:dyDescent="0.2">
      <c r="A62" s="3"/>
      <c r="B62" s="15"/>
      <c r="C62" s="10"/>
      <c r="D62" s="85"/>
      <c r="E62" s="140" t="s">
        <v>56</v>
      </c>
      <c r="F62" s="122"/>
      <c r="G62" s="122"/>
      <c r="H62" s="132"/>
      <c r="I62" s="124"/>
      <c r="J62" s="126">
        <f>H62*I62</f>
        <v>0</v>
      </c>
      <c r="K62" s="125"/>
      <c r="L62" s="126"/>
      <c r="M62" s="17"/>
      <c r="N62" s="133">
        <f>IF(K62="",0,VLOOKUP(K62,'Stundensaetze PersonalUni'!A:C,3,0))</f>
        <v>0</v>
      </c>
      <c r="O62" s="127"/>
      <c r="P62" s="128">
        <f>J62*N62</f>
        <v>0</v>
      </c>
      <c r="Q62" s="3"/>
    </row>
    <row r="63" spans="1:21" x14ac:dyDescent="0.2">
      <c r="A63" s="3"/>
      <c r="B63" s="15"/>
      <c r="C63" s="10"/>
      <c r="D63" s="85"/>
      <c r="E63" s="140" t="s">
        <v>57</v>
      </c>
      <c r="F63" s="122"/>
      <c r="G63" s="122"/>
      <c r="H63" s="132"/>
      <c r="I63" s="124"/>
      <c r="J63" s="126">
        <f>H63*I63</f>
        <v>0</v>
      </c>
      <c r="K63" s="125"/>
      <c r="L63" s="126"/>
      <c r="M63" s="17"/>
      <c r="N63" s="141">
        <f>IF(K63="",0,VLOOKUP(K63,'Stundensaetze PersonalUni'!A:C,3,0))</f>
        <v>0</v>
      </c>
      <c r="O63" s="127"/>
      <c r="P63" s="128">
        <f>J63*N63</f>
        <v>0</v>
      </c>
      <c r="Q63" s="3"/>
    </row>
    <row r="64" spans="1:21" x14ac:dyDescent="0.2">
      <c r="A64" s="3"/>
      <c r="B64" s="15"/>
      <c r="C64" s="10"/>
      <c r="D64" s="85"/>
      <c r="E64" s="140" t="s">
        <v>58</v>
      </c>
      <c r="F64" s="122"/>
      <c r="G64" s="122"/>
      <c r="H64" s="132"/>
      <c r="I64" s="124"/>
      <c r="J64" s="126">
        <f>H64*I64</f>
        <v>0</v>
      </c>
      <c r="K64" s="125"/>
      <c r="L64" s="126"/>
      <c r="M64" s="17"/>
      <c r="N64" s="141">
        <f>IF(K64="",0,VLOOKUP(K64,'Stundensaetze PersonalUni'!A:C,3,0))</f>
        <v>0</v>
      </c>
      <c r="O64" s="127"/>
      <c r="P64" s="128">
        <f>J64*N64</f>
        <v>0</v>
      </c>
      <c r="Q64" s="3"/>
    </row>
    <row r="65" spans="1:17" x14ac:dyDescent="0.2">
      <c r="A65" s="3"/>
      <c r="B65" s="15"/>
      <c r="C65" s="10"/>
      <c r="D65" s="85"/>
      <c r="E65" s="140" t="s">
        <v>59</v>
      </c>
      <c r="F65" s="122"/>
      <c r="G65" s="122"/>
      <c r="H65" s="132"/>
      <c r="I65" s="124"/>
      <c r="J65" s="126">
        <f>H65*I65</f>
        <v>0</v>
      </c>
      <c r="K65" s="125"/>
      <c r="L65" s="126"/>
      <c r="M65" s="17"/>
      <c r="N65" s="141">
        <f>IF(K65="",0,VLOOKUP(K65,'Stundensaetze PersonalUni'!A:C,3,0))</f>
        <v>0</v>
      </c>
      <c r="O65" s="127"/>
      <c r="P65" s="128">
        <f>J65*N65</f>
        <v>0</v>
      </c>
      <c r="Q65" s="3"/>
    </row>
    <row r="66" spans="1:17" x14ac:dyDescent="0.2">
      <c r="A66" s="3"/>
      <c r="B66" s="15"/>
      <c r="C66" s="10"/>
      <c r="D66" s="85"/>
      <c r="E66" s="140" t="s">
        <v>60</v>
      </c>
      <c r="F66" s="122"/>
      <c r="G66" s="122"/>
      <c r="H66" s="132"/>
      <c r="I66" s="124"/>
      <c r="J66" s="126">
        <f>H66*I66</f>
        <v>0</v>
      </c>
      <c r="K66" s="125"/>
      <c r="L66" s="126"/>
      <c r="M66" s="17"/>
      <c r="N66" s="141">
        <f>IF(K66="",0,VLOOKUP(K66,'Stundensaetze PersonalUni'!A:C,3,0))</f>
        <v>0</v>
      </c>
      <c r="O66" s="137"/>
      <c r="P66" s="128">
        <f>J66*N66</f>
        <v>0</v>
      </c>
      <c r="Q66" s="3"/>
    </row>
    <row r="67" spans="1:17" x14ac:dyDescent="0.2">
      <c r="A67" s="3"/>
      <c r="B67" s="15"/>
      <c r="C67" s="10"/>
      <c r="D67" s="85"/>
      <c r="E67" s="85"/>
      <c r="F67" s="85"/>
      <c r="G67" s="85"/>
      <c r="H67" s="85"/>
      <c r="I67" s="24"/>
      <c r="J67" s="24"/>
      <c r="K67" s="24"/>
      <c r="L67" s="24"/>
      <c r="M67" s="24"/>
      <c r="N67" s="17"/>
      <c r="O67" s="24"/>
      <c r="P67" s="135">
        <f>SUM(P62:P66)</f>
        <v>0</v>
      </c>
      <c r="Q67" s="3"/>
    </row>
    <row r="68" spans="1:17" x14ac:dyDescent="0.2">
      <c r="A68" s="3"/>
      <c r="B68" s="15"/>
      <c r="C68" s="10"/>
      <c r="D68" s="85"/>
      <c r="E68" s="85"/>
      <c r="F68" s="85"/>
      <c r="G68" s="85"/>
      <c r="H68" s="85"/>
      <c r="I68" s="24"/>
      <c r="J68" s="24"/>
      <c r="K68" s="24"/>
      <c r="L68" s="24"/>
      <c r="M68" s="24"/>
      <c r="N68" s="17"/>
      <c r="O68" s="24"/>
      <c r="P68" s="27"/>
      <c r="Q68" s="3"/>
    </row>
    <row r="69" spans="1:17" x14ac:dyDescent="0.2">
      <c r="A69" s="3"/>
      <c r="B69" s="15"/>
      <c r="C69" s="97" t="s">
        <v>61</v>
      </c>
      <c r="D69" s="99"/>
      <c r="E69" s="99"/>
      <c r="F69" s="99"/>
      <c r="G69" s="99"/>
      <c r="H69" s="99"/>
      <c r="I69" s="142"/>
      <c r="J69" s="142"/>
      <c r="K69" s="143"/>
      <c r="L69" s="143"/>
      <c r="M69" s="99"/>
      <c r="N69" s="142"/>
      <c r="O69" s="142"/>
      <c r="P69" s="135">
        <f>P58+P67</f>
        <v>0</v>
      </c>
      <c r="Q69" s="3"/>
    </row>
    <row r="70" spans="1:17" ht="6" customHeight="1" x14ac:dyDescent="0.2">
      <c r="A70" s="3"/>
      <c r="B70" s="8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7"/>
      <c r="Q70" s="3"/>
    </row>
    <row r="71" spans="1:17" x14ac:dyDescent="0.2">
      <c r="A71" s="3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"/>
    </row>
    <row r="72" spans="1:17" ht="6" hidden="1" customHeight="1" x14ac:dyDescent="0.2">
      <c r="A72" s="3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6"/>
      <c r="Q72" s="3"/>
    </row>
    <row r="73" spans="1:17" hidden="1" x14ac:dyDescent="0.2">
      <c r="A73" s="3"/>
      <c r="B73" s="15"/>
      <c r="C73" s="91" t="s">
        <v>62</v>
      </c>
      <c r="D73" s="9" t="s">
        <v>63</v>
      </c>
      <c r="E73" s="85"/>
      <c r="F73" s="85"/>
      <c r="G73" s="85"/>
      <c r="H73" s="85"/>
      <c r="I73" s="10"/>
      <c r="J73" s="10"/>
      <c r="K73" s="10"/>
      <c r="L73" s="10"/>
      <c r="M73" s="10"/>
      <c r="N73" s="10"/>
      <c r="O73" s="10"/>
      <c r="P73" s="16"/>
      <c r="Q73" s="3"/>
    </row>
    <row r="74" spans="1:17" ht="6" hidden="1" customHeight="1" x14ac:dyDescent="0.2">
      <c r="A74" s="3"/>
      <c r="B74" s="15"/>
      <c r="C74" s="10"/>
      <c r="D74" s="10"/>
      <c r="E74" s="10"/>
      <c r="F74" s="10"/>
      <c r="G74" s="10"/>
      <c r="H74" s="10"/>
      <c r="I74" s="144"/>
      <c r="J74" s="10"/>
      <c r="K74" s="10"/>
      <c r="L74" s="10"/>
      <c r="M74" s="10"/>
      <c r="N74" s="10"/>
      <c r="O74" s="10"/>
      <c r="P74" s="16"/>
      <c r="Q74" s="3"/>
    </row>
    <row r="75" spans="1:17" ht="25.5" hidden="1" x14ac:dyDescent="0.2">
      <c r="A75" s="3"/>
      <c r="B75" s="15"/>
      <c r="C75" s="10"/>
      <c r="D75" s="145"/>
      <c r="E75" s="112" t="s">
        <v>64</v>
      </c>
      <c r="F75" s="112"/>
      <c r="G75" s="112"/>
      <c r="H75" s="112"/>
      <c r="I75" s="10"/>
      <c r="J75" s="111" t="s">
        <v>65</v>
      </c>
      <c r="K75" s="144" t="s">
        <v>66</v>
      </c>
      <c r="L75" s="144"/>
      <c r="M75" s="146" t="s">
        <v>67</v>
      </c>
      <c r="N75" s="146" t="s">
        <v>68</v>
      </c>
      <c r="O75" s="10"/>
      <c r="P75" s="16"/>
      <c r="Q75" s="3"/>
    </row>
    <row r="76" spans="1:17" ht="6" hidden="1" customHeight="1" x14ac:dyDescent="0.2">
      <c r="A76" s="3"/>
      <c r="B76" s="15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47"/>
      <c r="N76" s="147"/>
      <c r="O76" s="10"/>
      <c r="P76" s="16"/>
      <c r="Q76" s="3"/>
    </row>
    <row r="77" spans="1:17" hidden="1" x14ac:dyDescent="0.2">
      <c r="A77" s="3"/>
      <c r="B77" s="15"/>
      <c r="C77" s="10"/>
      <c r="D77" s="10"/>
      <c r="E77" s="656" t="s">
        <v>69</v>
      </c>
      <c r="F77" s="657"/>
      <c r="G77" s="657"/>
      <c r="H77" s="657"/>
      <c r="I77" s="658"/>
      <c r="J77" s="148"/>
      <c r="K77" s="149"/>
      <c r="L77" s="126"/>
      <c r="M77" s="150" t="str">
        <f>IF(J876="","",VLOOKUP(J77,#REF!,2,FALSE))</f>
        <v/>
      </c>
      <c r="N77" s="151" t="str">
        <f>IF(M77="","",K77*M77)</f>
        <v/>
      </c>
      <c r="O77" s="10"/>
      <c r="P77" s="16"/>
      <c r="Q77" s="3"/>
    </row>
    <row r="78" spans="1:17" hidden="1" x14ac:dyDescent="0.2">
      <c r="A78" s="3"/>
      <c r="B78" s="15"/>
      <c r="C78" s="10"/>
      <c r="D78" s="10"/>
      <c r="E78" s="656" t="s">
        <v>70</v>
      </c>
      <c r="F78" s="657"/>
      <c r="G78" s="657"/>
      <c r="H78" s="657"/>
      <c r="I78" s="658"/>
      <c r="J78" s="148"/>
      <c r="K78" s="149"/>
      <c r="L78" s="126"/>
      <c r="M78" s="150" t="str">
        <f>IF(J877="","",VLOOKUP(J78,#REF!,2,FALSE))</f>
        <v/>
      </c>
      <c r="N78" s="151" t="str">
        <f>IF(M78="","",K78*M78)</f>
        <v/>
      </c>
      <c r="O78" s="10"/>
      <c r="P78" s="16"/>
      <c r="Q78" s="3"/>
    </row>
    <row r="79" spans="1:17" hidden="1" x14ac:dyDescent="0.2">
      <c r="A79" s="3"/>
      <c r="B79" s="15"/>
      <c r="C79" s="10"/>
      <c r="D79" s="10"/>
      <c r="E79" s="656" t="s">
        <v>71</v>
      </c>
      <c r="F79" s="657"/>
      <c r="G79" s="657"/>
      <c r="H79" s="657"/>
      <c r="I79" s="658"/>
      <c r="J79" s="148"/>
      <c r="K79" s="149"/>
      <c r="L79" s="126"/>
      <c r="M79" s="150" t="str">
        <f>IF(J878="","",VLOOKUP(J79,#REF!,2,FALSE))</f>
        <v/>
      </c>
      <c r="N79" s="151" t="str">
        <f>IF(M79="","",K79*M79)</f>
        <v/>
      </c>
      <c r="O79" s="10"/>
      <c r="P79" s="16"/>
      <c r="Q79" s="3"/>
    </row>
    <row r="80" spans="1:17" ht="6" hidden="1" customHeight="1" x14ac:dyDescent="0.2">
      <c r="A80" s="3"/>
      <c r="B80" s="15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6"/>
      <c r="Q80" s="3"/>
    </row>
    <row r="81" spans="1:23" hidden="1" x14ac:dyDescent="0.2">
      <c r="A81" s="3"/>
      <c r="B81" s="15"/>
      <c r="C81" s="152" t="s">
        <v>72</v>
      </c>
      <c r="D81" s="153"/>
      <c r="E81" s="154"/>
      <c r="F81" s="154"/>
      <c r="G81" s="154"/>
      <c r="H81" s="154"/>
      <c r="I81" s="155"/>
      <c r="J81" s="155"/>
      <c r="K81" s="156"/>
      <c r="L81" s="156"/>
      <c r="M81" s="154"/>
      <c r="N81" s="157" t="str">
        <f>IF(AND(N77="",N78="",N79=""),"",N77+N78+N79)</f>
        <v/>
      </c>
      <c r="O81" s="24"/>
      <c r="P81" s="158"/>
      <c r="Q81" s="3"/>
    </row>
    <row r="82" spans="1:23" ht="6" hidden="1" customHeight="1" x14ac:dyDescent="0.2">
      <c r="A82" s="3"/>
      <c r="B82" s="81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7"/>
      <c r="Q82" s="3"/>
    </row>
    <row r="83" spans="1:23" hidden="1" x14ac:dyDescent="0.2">
      <c r="A83" s="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3"/>
    </row>
    <row r="84" spans="1:23" ht="1.5" customHeight="1" x14ac:dyDescent="0.2">
      <c r="A84" s="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3"/>
    </row>
    <row r="85" spans="1:23" ht="6" customHeight="1" x14ac:dyDescent="0.2">
      <c r="A85" s="3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6"/>
      <c r="Q85" s="3"/>
    </row>
    <row r="86" spans="1:23" x14ac:dyDescent="0.2">
      <c r="A86" s="3"/>
      <c r="B86" s="8" t="s">
        <v>73</v>
      </c>
      <c r="C86" s="9" t="s">
        <v>74</v>
      </c>
      <c r="D86" s="10"/>
      <c r="E86" s="10"/>
      <c r="F86" s="10"/>
      <c r="G86" s="10"/>
      <c r="H86" s="10"/>
      <c r="I86" s="159" t="s">
        <v>75</v>
      </c>
      <c r="J86" s="160"/>
      <c r="K86" s="160"/>
      <c r="L86" s="160"/>
      <c r="M86" s="160"/>
      <c r="N86" s="10"/>
      <c r="O86" s="10"/>
      <c r="P86" s="16"/>
      <c r="Q86" s="3"/>
    </row>
    <row r="87" spans="1:23" x14ac:dyDescent="0.2">
      <c r="A87" s="3"/>
      <c r="B87" s="8"/>
      <c r="C87" s="85" t="s">
        <v>23</v>
      </c>
      <c r="D87" s="10"/>
      <c r="E87" s="10"/>
      <c r="F87" s="10"/>
      <c r="G87" s="10"/>
      <c r="H87" s="10"/>
      <c r="I87" s="161">
        <f>H34</f>
        <v>0</v>
      </c>
      <c r="J87" s="162"/>
      <c r="K87" s="163"/>
      <c r="L87" s="163"/>
      <c r="M87" s="163"/>
      <c r="N87" s="10"/>
      <c r="O87" s="10"/>
      <c r="P87" s="16"/>
      <c r="Q87" s="3"/>
    </row>
    <row r="88" spans="1:23" x14ac:dyDescent="0.2">
      <c r="A88" s="3"/>
      <c r="B88" s="8"/>
      <c r="C88" s="85" t="s">
        <v>34</v>
      </c>
      <c r="D88" s="10"/>
      <c r="E88" s="10"/>
      <c r="F88" s="10"/>
      <c r="G88" s="10"/>
      <c r="H88" s="10"/>
      <c r="I88" s="161">
        <f>G45</f>
        <v>0</v>
      </c>
      <c r="J88" s="162"/>
      <c r="K88" s="163"/>
      <c r="L88" s="163"/>
      <c r="M88" s="163"/>
      <c r="N88" s="10"/>
      <c r="O88" s="10"/>
      <c r="P88" s="16"/>
      <c r="Q88" s="3"/>
    </row>
    <row r="89" spans="1:23" x14ac:dyDescent="0.2">
      <c r="A89" s="3"/>
      <c r="B89" s="8"/>
      <c r="C89" s="85" t="s">
        <v>39</v>
      </c>
      <c r="D89" s="10"/>
      <c r="E89" s="10"/>
      <c r="F89" s="10"/>
      <c r="G89" s="10"/>
      <c r="H89" s="10"/>
      <c r="I89" s="161">
        <f>P69</f>
        <v>0</v>
      </c>
      <c r="J89" s="162"/>
      <c r="K89" s="163"/>
      <c r="L89" s="163"/>
      <c r="M89" s="163"/>
      <c r="N89" s="10"/>
      <c r="O89" s="10"/>
      <c r="P89" s="16"/>
      <c r="Q89" s="3"/>
    </row>
    <row r="90" spans="1:23" hidden="1" x14ac:dyDescent="0.2">
      <c r="A90" s="3"/>
      <c r="B90" s="8"/>
      <c r="C90" s="85" t="s">
        <v>76</v>
      </c>
      <c r="D90" s="10"/>
      <c r="E90" s="10"/>
      <c r="F90" s="10"/>
      <c r="G90" s="10"/>
      <c r="H90" s="10"/>
      <c r="I90" s="161" t="str">
        <f>IF(N81="","",N77+N78+N79)</f>
        <v/>
      </c>
      <c r="J90" s="162"/>
      <c r="K90" s="163"/>
      <c r="L90" s="163"/>
      <c r="M90" s="163"/>
      <c r="N90" s="10"/>
      <c r="O90" s="10"/>
      <c r="P90" s="16"/>
      <c r="Q90" s="3"/>
    </row>
    <row r="91" spans="1:23" ht="4.5" customHeight="1" thickBot="1" x14ac:dyDescent="0.25">
      <c r="A91" s="3"/>
      <c r="B91" s="8"/>
      <c r="C91" s="164"/>
      <c r="D91" s="165"/>
      <c r="E91" s="165"/>
      <c r="F91" s="165"/>
      <c r="G91" s="165"/>
      <c r="H91" s="165"/>
      <c r="I91" s="166"/>
      <c r="J91" s="162"/>
      <c r="K91" s="163"/>
      <c r="L91" s="163"/>
      <c r="M91" s="163"/>
      <c r="N91" s="10"/>
      <c r="O91" s="10"/>
      <c r="P91" s="16"/>
      <c r="Q91" s="3"/>
    </row>
    <row r="92" spans="1:23" ht="13.5" thickTop="1" x14ac:dyDescent="0.2">
      <c r="A92" s="3"/>
      <c r="B92" s="8"/>
      <c r="C92" s="9" t="s">
        <v>77</v>
      </c>
      <c r="D92" s="85"/>
      <c r="E92" s="85"/>
      <c r="F92" s="85"/>
      <c r="G92" s="85"/>
      <c r="H92" s="85"/>
      <c r="I92" s="167">
        <f>SUM(I87:I90)</f>
        <v>0</v>
      </c>
      <c r="J92" s="10"/>
      <c r="K92" s="168"/>
      <c r="L92" s="168"/>
      <c r="M92" s="168"/>
      <c r="N92" s="10"/>
      <c r="O92" s="10"/>
      <c r="P92" s="16"/>
      <c r="Q92" s="3"/>
    </row>
    <row r="93" spans="1:23" x14ac:dyDescent="0.2">
      <c r="A93" s="3"/>
      <c r="B93" s="8"/>
      <c r="C93" s="9"/>
      <c r="D93" s="85"/>
      <c r="E93" s="85"/>
      <c r="F93" s="85"/>
      <c r="G93" s="85"/>
      <c r="H93" s="85"/>
      <c r="I93" s="167"/>
      <c r="J93" s="10"/>
      <c r="K93" s="168"/>
      <c r="L93" s="168"/>
      <c r="M93" s="168"/>
      <c r="N93" s="10"/>
      <c r="O93" s="10"/>
      <c r="P93" s="16"/>
      <c r="Q93" s="3"/>
      <c r="T93" s="629" t="s">
        <v>386</v>
      </c>
      <c r="U93" s="629" t="s">
        <v>385</v>
      </c>
    </row>
    <row r="94" spans="1:23" x14ac:dyDescent="0.2">
      <c r="A94" s="3"/>
      <c r="B94" s="8"/>
      <c r="C94" s="85" t="s">
        <v>78</v>
      </c>
      <c r="D94" s="85"/>
      <c r="E94" s="85"/>
      <c r="F94" s="659">
        <f>IF(G12&lt;&gt;"",VLOOKUP(G12,'Stundensaetze PersonalUni'!J2:K4,2,FALSE),"")</f>
        <v>0.24752425287565083</v>
      </c>
      <c r="G94" s="660"/>
      <c r="H94" s="85"/>
      <c r="I94" s="161">
        <f>IF(T94&lt;&gt;"",T94,(I87+I88+I89-G25)*F94)</f>
        <v>0</v>
      </c>
      <c r="J94" s="10"/>
      <c r="K94" s="639" t="str">
        <f>+IF(I94=0,"Keine Gemeinkosten","")</f>
        <v>Keine Gemeinkosten</v>
      </c>
      <c r="L94" s="168"/>
      <c r="M94" s="168"/>
      <c r="N94" s="10"/>
      <c r="O94" s="10"/>
      <c r="P94" s="16"/>
      <c r="Q94" s="3"/>
      <c r="T94" s="635"/>
      <c r="U94" s="637"/>
    </row>
    <row r="95" spans="1:23" x14ac:dyDescent="0.2">
      <c r="A95" s="3"/>
      <c r="B95" s="8"/>
      <c r="C95" s="169" t="s">
        <v>79</v>
      </c>
      <c r="D95" s="85"/>
      <c r="E95" s="85"/>
      <c r="F95" s="170"/>
      <c r="G95" s="170"/>
      <c r="H95" s="85"/>
      <c r="I95" s="167"/>
      <c r="J95" s="10"/>
      <c r="K95" s="168"/>
      <c r="L95" s="168"/>
      <c r="M95" s="168"/>
      <c r="N95" s="10"/>
      <c r="O95" s="10"/>
      <c r="P95" s="16"/>
      <c r="Q95" s="3"/>
      <c r="T95" s="632"/>
      <c r="U95" s="171"/>
      <c r="V95" s="171"/>
      <c r="W95" s="172"/>
    </row>
    <row r="96" spans="1:23" x14ac:dyDescent="0.2">
      <c r="A96" s="3"/>
      <c r="B96" s="8"/>
      <c r="C96" s="1"/>
      <c r="D96" s="1"/>
      <c r="E96" s="1"/>
      <c r="F96" s="1"/>
      <c r="G96" s="1"/>
      <c r="H96" s="1"/>
      <c r="I96" s="1"/>
      <c r="J96" s="10"/>
      <c r="K96" s="168"/>
      <c r="L96" s="168"/>
      <c r="M96" s="168"/>
      <c r="N96" s="10"/>
      <c r="O96" s="10"/>
      <c r="P96" s="16"/>
      <c r="Q96" s="3"/>
      <c r="T96" s="632"/>
      <c r="U96" s="173"/>
      <c r="V96" s="171"/>
      <c r="W96" s="172"/>
    </row>
    <row r="97" spans="1:23" x14ac:dyDescent="0.2">
      <c r="A97" s="3"/>
      <c r="B97" s="8"/>
      <c r="C97" s="174" t="s">
        <v>80</v>
      </c>
      <c r="D97" s="85"/>
      <c r="E97" s="85"/>
      <c r="F97" s="651">
        <f>+'Flächenberechnung VK'!Y46</f>
        <v>0</v>
      </c>
      <c r="G97" s="652"/>
      <c r="H97" s="175" t="s">
        <v>81</v>
      </c>
      <c r="I97" s="176">
        <f>IF(T97&lt;&gt;"",T97,+'Flächenberechnung VK'!Y45)</f>
        <v>0</v>
      </c>
      <c r="J97" s="10"/>
      <c r="K97" s="639" t="str">
        <f>+IF(I97=0,"Keine Pauschale","")</f>
        <v>Keine Pauschale</v>
      </c>
      <c r="L97" s="168"/>
      <c r="M97" s="168"/>
      <c r="N97" s="10"/>
      <c r="O97" s="10"/>
      <c r="P97" s="16"/>
      <c r="Q97" s="3"/>
      <c r="T97" s="635"/>
      <c r="U97" s="638"/>
      <c r="V97" s="171"/>
      <c r="W97" s="177"/>
    </row>
    <row r="98" spans="1:23" ht="13.5" customHeight="1" x14ac:dyDescent="0.2">
      <c r="A98" s="3"/>
      <c r="B98" s="8"/>
      <c r="C98" s="174" t="s">
        <v>82</v>
      </c>
      <c r="D98" s="85"/>
      <c r="E98" s="85"/>
      <c r="F98" s="640">
        <f>VLOOKUP(G12,'HIS-Ersteinrichtkost'!A49:B52,2,FALSE)</f>
        <v>2.7406842711105504</v>
      </c>
      <c r="G98" s="641"/>
      <c r="H98" s="175" t="s">
        <v>83</v>
      </c>
      <c r="I98" s="176">
        <f>IF(T98&lt;&gt;"",T98,+'Flächenberechnung VK'!Y43*F98)</f>
        <v>0</v>
      </c>
      <c r="J98" s="10"/>
      <c r="K98" s="639" t="str">
        <f>+IF(I98=0,"Keine Pauschale","")</f>
        <v>Keine Pauschale</v>
      </c>
      <c r="L98" s="168"/>
      <c r="M98" s="168"/>
      <c r="N98" s="10"/>
      <c r="O98" s="10"/>
      <c r="P98" s="16"/>
      <c r="Q98" s="3"/>
      <c r="T98" s="635"/>
      <c r="U98" s="637"/>
    </row>
    <row r="99" spans="1:23" ht="13.5" customHeight="1" x14ac:dyDescent="0.2">
      <c r="A99" s="3"/>
      <c r="B99" s="8"/>
      <c r="C99" s="178" t="s">
        <v>84</v>
      </c>
      <c r="D99" s="85"/>
      <c r="E99" s="85"/>
      <c r="F99" s="85"/>
      <c r="G99" s="85"/>
      <c r="H99" s="85"/>
      <c r="I99" s="176">
        <f>+'Großgeräte (DFG)'!P74</f>
        <v>0</v>
      </c>
      <c r="J99" s="10"/>
      <c r="K99" s="179" t="s">
        <v>85</v>
      </c>
      <c r="L99" s="168"/>
      <c r="M99" s="168"/>
      <c r="N99" s="10"/>
      <c r="O99" s="10"/>
      <c r="P99" s="16"/>
      <c r="Q99" s="3"/>
      <c r="T99" s="632"/>
    </row>
    <row r="100" spans="1:23" ht="6" customHeight="1" x14ac:dyDescent="0.2">
      <c r="A100" s="3"/>
      <c r="B100" s="8"/>
      <c r="C100" s="9"/>
      <c r="D100" s="85"/>
      <c r="E100" s="85"/>
      <c r="F100" s="170"/>
      <c r="G100" s="170"/>
      <c r="H100" s="85"/>
      <c r="I100" s="167"/>
      <c r="J100" s="10"/>
      <c r="K100" s="168"/>
      <c r="L100" s="168"/>
      <c r="M100" s="168"/>
      <c r="N100" s="10"/>
      <c r="O100" s="10"/>
      <c r="P100" s="16"/>
      <c r="Q100" s="3"/>
      <c r="T100" s="632"/>
    </row>
    <row r="101" spans="1:23" x14ac:dyDescent="0.2">
      <c r="A101" s="3"/>
      <c r="B101" s="8"/>
      <c r="C101" s="85" t="s">
        <v>86</v>
      </c>
      <c r="D101" s="85"/>
      <c r="E101" s="85"/>
      <c r="F101" s="642">
        <v>0.03</v>
      </c>
      <c r="G101" s="643"/>
      <c r="H101" s="85"/>
      <c r="I101" s="180">
        <f>(I92+I94+I97+I98+I99)*F101</f>
        <v>0</v>
      </c>
      <c r="K101" s="181" t="str">
        <f>IF(F101&lt;&gt;"","","Wählen Sie einen Gewinnzuschlag von 3 oder mehr Prozent aus!")</f>
        <v/>
      </c>
      <c r="L101" s="168"/>
      <c r="M101" s="168"/>
      <c r="N101" s="10"/>
      <c r="O101" s="10"/>
      <c r="P101" s="16"/>
      <c r="Q101" s="3"/>
      <c r="R101" s="131"/>
      <c r="T101" s="632"/>
    </row>
    <row r="102" spans="1:23" ht="6" customHeight="1" x14ac:dyDescent="0.2">
      <c r="A102" s="3"/>
      <c r="B102" s="8"/>
      <c r="C102" s="85"/>
      <c r="D102" s="85"/>
      <c r="E102" s="85"/>
      <c r="F102" s="170"/>
      <c r="G102" s="170"/>
      <c r="H102" s="85"/>
      <c r="I102" s="182"/>
      <c r="J102" s="10"/>
      <c r="K102" s="168"/>
      <c r="L102" s="168"/>
      <c r="M102" s="168"/>
      <c r="N102" s="10"/>
      <c r="O102" s="10"/>
      <c r="P102" s="16"/>
      <c r="Q102" s="3"/>
      <c r="R102" s="131"/>
      <c r="T102" s="632"/>
    </row>
    <row r="103" spans="1:23" x14ac:dyDescent="0.2">
      <c r="A103" s="3"/>
      <c r="B103" s="8"/>
      <c r="C103" s="183" t="s">
        <v>87</v>
      </c>
      <c r="D103" s="183"/>
      <c r="E103" s="183"/>
      <c r="F103" s="184"/>
      <c r="G103" s="184"/>
      <c r="H103" s="183"/>
      <c r="I103" s="185">
        <f>+I92+I97+I98+I99+I94+I101</f>
        <v>0</v>
      </c>
      <c r="J103" s="10"/>
      <c r="K103" s="168"/>
      <c r="L103" s="168"/>
      <c r="M103" s="168"/>
      <c r="N103" s="10"/>
      <c r="O103" s="10"/>
      <c r="P103" s="16"/>
      <c r="Q103" s="3"/>
      <c r="T103" s="632"/>
    </row>
    <row r="104" spans="1:23" ht="6" customHeight="1" x14ac:dyDescent="0.2">
      <c r="A104" s="3"/>
      <c r="B104" s="8"/>
      <c r="C104" s="85"/>
      <c r="D104" s="85"/>
      <c r="E104" s="85"/>
      <c r="F104" s="170"/>
      <c r="G104" s="170"/>
      <c r="H104" s="85"/>
      <c r="I104" s="176"/>
      <c r="J104" s="10"/>
      <c r="K104" s="168"/>
      <c r="L104" s="168"/>
      <c r="M104" s="168"/>
      <c r="N104" s="10"/>
      <c r="O104" s="10"/>
      <c r="P104" s="16"/>
      <c r="Q104" s="3"/>
    </row>
    <row r="105" spans="1:23" x14ac:dyDescent="0.2">
      <c r="A105" s="3"/>
      <c r="B105" s="8"/>
      <c r="C105" s="85" t="s">
        <v>88</v>
      </c>
      <c r="D105" s="85"/>
      <c r="E105" s="85"/>
      <c r="F105" s="644">
        <v>0.19</v>
      </c>
      <c r="G105" s="645"/>
      <c r="H105" s="85"/>
      <c r="I105" s="176">
        <f>I103*F105</f>
        <v>0</v>
      </c>
      <c r="J105" s="10"/>
      <c r="K105" s="646" t="str">
        <f>IF(F105&lt;&gt;"","","Wählen Sie einen Mehrwertsteuersatz aus!")</f>
        <v/>
      </c>
      <c r="L105" s="646"/>
      <c r="M105" s="646"/>
      <c r="N105" s="646"/>
      <c r="O105" s="646"/>
      <c r="P105" s="16"/>
      <c r="Q105" s="3"/>
    </row>
    <row r="106" spans="1:23" ht="10.5" customHeight="1" x14ac:dyDescent="0.2">
      <c r="A106" s="3"/>
      <c r="B106" s="8"/>
      <c r="C106" s="85"/>
      <c r="D106" s="85"/>
      <c r="E106" s="85"/>
      <c r="F106" s="85"/>
      <c r="G106" s="85"/>
      <c r="H106" s="85"/>
      <c r="I106" s="176"/>
      <c r="J106" s="10"/>
      <c r="K106" s="186"/>
      <c r="L106" s="186"/>
      <c r="M106" s="186"/>
      <c r="N106" s="187"/>
      <c r="O106" s="10"/>
      <c r="P106" s="16"/>
      <c r="Q106" s="3"/>
    </row>
    <row r="107" spans="1:23" x14ac:dyDescent="0.2">
      <c r="A107" s="3"/>
      <c r="B107" s="8"/>
      <c r="C107" s="97" t="s">
        <v>89</v>
      </c>
      <c r="D107" s="97"/>
      <c r="E107" s="97"/>
      <c r="F107" s="97"/>
      <c r="G107" s="97"/>
      <c r="H107" s="97"/>
      <c r="I107" s="188">
        <f>I103+I105</f>
        <v>0</v>
      </c>
      <c r="J107" s="10"/>
      <c r="K107" s="168"/>
      <c r="L107" s="168"/>
      <c r="M107" s="168"/>
      <c r="N107" s="10"/>
      <c r="O107" s="10"/>
      <c r="P107" s="16"/>
      <c r="Q107" s="3"/>
    </row>
    <row r="108" spans="1:23" ht="6" customHeight="1" x14ac:dyDescent="0.2">
      <c r="A108" s="3"/>
      <c r="B108" s="43"/>
      <c r="C108" s="44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7"/>
      <c r="Q108" s="3"/>
    </row>
    <row r="109" spans="1:23" ht="14.25" customHeight="1" x14ac:dyDescent="0.2">
      <c r="A109" s="3"/>
      <c r="B109" s="91"/>
      <c r="C109" s="9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3"/>
    </row>
    <row r="110" spans="1:23" ht="25.5" customHeight="1" x14ac:dyDescent="0.35">
      <c r="A110" s="3"/>
      <c r="B110" s="91"/>
      <c r="C110" s="9"/>
      <c r="D110" s="10"/>
      <c r="E110" s="10"/>
      <c r="F110" s="10"/>
      <c r="G110" s="189"/>
      <c r="H110" s="190"/>
      <c r="I110" s="190"/>
      <c r="J110" s="190"/>
      <c r="K110" s="10"/>
      <c r="L110" s="10"/>
      <c r="M110" s="10"/>
      <c r="N110" s="10"/>
      <c r="O110" s="10"/>
      <c r="P110" s="10"/>
      <c r="Q110" s="3"/>
    </row>
    <row r="111" spans="1:23" ht="7.5" customHeight="1" x14ac:dyDescent="0.2">
      <c r="A111" s="3"/>
      <c r="C111" s="9"/>
      <c r="D111" s="10"/>
      <c r="E111" s="10"/>
      <c r="F111" s="10"/>
      <c r="H111" s="10"/>
      <c r="I111" s="10"/>
      <c r="J111" s="10"/>
      <c r="K111" s="10"/>
      <c r="L111" s="10"/>
      <c r="M111" s="10"/>
      <c r="N111" s="10"/>
      <c r="O111" s="10"/>
      <c r="P111" s="10"/>
      <c r="Q111" s="3"/>
    </row>
    <row r="112" spans="1:23" ht="14.25" customHeight="1" x14ac:dyDescent="0.2">
      <c r="A112" s="3"/>
      <c r="B112" s="103" t="s">
        <v>90</v>
      </c>
      <c r="C112" s="85"/>
      <c r="D112" s="85"/>
      <c r="E112" s="170"/>
      <c r="F112" s="170"/>
      <c r="G112" s="103" t="s">
        <v>91</v>
      </c>
      <c r="H112" s="170"/>
      <c r="I112" s="85"/>
      <c r="J112" s="85"/>
      <c r="K112" s="103" t="s">
        <v>92</v>
      </c>
      <c r="L112" s="85"/>
      <c r="N112" s="10"/>
      <c r="O112" s="7" t="s">
        <v>93</v>
      </c>
      <c r="P112" s="10"/>
      <c r="Q112" s="3"/>
    </row>
    <row r="113" spans="1:17" ht="6.75" customHeight="1" x14ac:dyDescent="0.2">
      <c r="A113" s="3"/>
      <c r="B113" s="103"/>
      <c r="C113" s="85"/>
      <c r="D113" s="85"/>
      <c r="E113" s="170"/>
      <c r="F113" s="170"/>
      <c r="G113" s="170"/>
      <c r="H113" s="170"/>
      <c r="I113" s="85"/>
      <c r="J113" s="85"/>
      <c r="K113" s="85"/>
      <c r="L113" s="85"/>
      <c r="M113" s="85"/>
      <c r="N113" s="10"/>
      <c r="O113" s="170"/>
      <c r="P113" s="10"/>
      <c r="Q113" s="3"/>
    </row>
    <row r="114" spans="1:17" ht="13.5" customHeight="1" x14ac:dyDescent="0.2">
      <c r="A114" s="3"/>
      <c r="B114" s="85" t="s">
        <v>94</v>
      </c>
      <c r="C114" s="9"/>
      <c r="D114" s="10"/>
      <c r="F114" s="85"/>
      <c r="G114" s="647"/>
      <c r="H114" s="648"/>
      <c r="I114" s="649"/>
      <c r="J114" s="85"/>
      <c r="K114" s="85" t="s">
        <v>94</v>
      </c>
      <c r="L114" s="10"/>
      <c r="M114" s="103"/>
      <c r="O114" s="650"/>
      <c r="P114" s="650"/>
      <c r="Q114" s="3"/>
    </row>
    <row r="115" spans="1:1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7" spans="1:17" x14ac:dyDescent="0.2">
      <c r="E117" s="191"/>
      <c r="F117" s="191"/>
      <c r="G117" s="191"/>
      <c r="H117" s="191"/>
      <c r="I117" s="7"/>
    </row>
    <row r="118" spans="1:17" x14ac:dyDescent="0.2">
      <c r="E118" s="192"/>
      <c r="F118" s="192"/>
      <c r="G118" s="192"/>
      <c r="H118" s="192"/>
      <c r="I118" s="193"/>
      <c r="J118" s="7"/>
    </row>
    <row r="119" spans="1:17" x14ac:dyDescent="0.2">
      <c r="E119" s="192"/>
      <c r="F119" s="192"/>
      <c r="G119" s="192"/>
      <c r="H119" s="192"/>
      <c r="I119" s="193"/>
      <c r="J119" s="7"/>
    </row>
    <row r="120" spans="1:17" x14ac:dyDescent="0.2">
      <c r="K120" s="194"/>
      <c r="L120" s="194"/>
    </row>
  </sheetData>
  <sheetProtection algorithmName="SHA-512" hashValue="V+qfM/9akYUS+m8GEBZZr7fL7lpzT+WvuXA7UuXQElO/K0FBZhBQZgK/vcxev5NOnIeeZayoShM7G9mYiitL4w==" saltValue="PcQ9OuTaLt8++p1hEpcWSg==" spinCount="100000" sheet="1" selectLockedCells="1" sort="0" autoFilter="0" pivotTables="0"/>
  <mergeCells count="30">
    <mergeCell ref="G42:H42"/>
    <mergeCell ref="B1:P1"/>
    <mergeCell ref="G5:L5"/>
    <mergeCell ref="G7:I7"/>
    <mergeCell ref="G12:I12"/>
    <mergeCell ref="G21:H21"/>
    <mergeCell ref="G23:H23"/>
    <mergeCell ref="G25:H25"/>
    <mergeCell ref="G27:H27"/>
    <mergeCell ref="G29:H29"/>
    <mergeCell ref="G31:H31"/>
    <mergeCell ref="B2:P3"/>
    <mergeCell ref="F97:G97"/>
    <mergeCell ref="G45:H45"/>
    <mergeCell ref="M51:N51"/>
    <mergeCell ref="M52:N52"/>
    <mergeCell ref="M53:N53"/>
    <mergeCell ref="M54:N54"/>
    <mergeCell ref="M55:N55"/>
    <mergeCell ref="M61:N61"/>
    <mergeCell ref="E77:I77"/>
    <mergeCell ref="E78:I78"/>
    <mergeCell ref="E79:I79"/>
    <mergeCell ref="F94:G94"/>
    <mergeCell ref="F98:G98"/>
    <mergeCell ref="F101:G101"/>
    <mergeCell ref="F105:G105"/>
    <mergeCell ref="K105:O105"/>
    <mergeCell ref="G114:I114"/>
    <mergeCell ref="O114:P114"/>
  </mergeCells>
  <dataValidations count="12">
    <dataValidation type="list" allowBlank="1" showInputMessage="1" showErrorMessage="1" sqref="I21 I31 I29 I27 I23">
      <formula1>$S$5:$S$6</formula1>
    </dataValidation>
    <dataValidation type="list" allowBlank="1" showInputMessage="1" showErrorMessage="1" sqref="O10 J10">
      <formula1>Jahr</formula1>
    </dataValidation>
    <dataValidation type="list" allowBlank="1" showInputMessage="1" showErrorMessage="1" sqref="N10 I10">
      <formula1>Monat</formula1>
    </dataValidation>
    <dataValidation type="list" allowBlank="1" showInputMessage="1" showErrorMessage="1" sqref="M10 H10">
      <formula1>Tag</formula1>
    </dataValidation>
    <dataValidation type="list" allowBlank="1" showInputMessage="1" showErrorMessage="1" sqref="G12">
      <formula1>Cluster</formula1>
    </dataValidation>
    <dataValidation type="list" allowBlank="1" showInputMessage="1" showErrorMessage="1" sqref="K32:L32 L42 I30:J30">
      <formula1>#REF!</formula1>
    </dataValidation>
    <dataValidation type="list" allowBlank="1" showInputMessage="1" showErrorMessage="1" sqref="H58">
      <formula1>Stellenanteil</formula1>
    </dataValidation>
    <dataValidation type="list" allowBlank="1" showInputMessage="1" showErrorMessage="1" sqref="K58">
      <formula1>Entgeltgruppe</formula1>
    </dataValidation>
    <dataValidation type="decimal" allowBlank="1" showInputMessage="1" showErrorMessage="1" promptTitle="Bitte wählen Sie aus!" sqref="F101:G101">
      <formula1>0.03</formula1>
      <formula2>100</formula2>
    </dataValidation>
    <dataValidation type="list" allowBlank="1" showInputMessage="1" showErrorMessage="1" sqref="F105:G105 I25">
      <formula1>Umsatzsteuer</formula1>
    </dataValidation>
    <dataValidation type="list" allowBlank="1" showInputMessage="1" showErrorMessage="1" sqref="F102">
      <formula1>Gewinnzuschlag</formula1>
    </dataValidation>
    <dataValidation type="decimal" allowBlank="1" showInputMessage="1" showErrorMessage="1" sqref="T52:T54">
      <formula1>0</formula1>
      <formula2>99999999999999900</formula2>
    </dataValidation>
  </dataValidations>
  <pageMargins left="0.57999999999999996" right="0.59" top="0.59055118110236227" bottom="0.47244094488188981" header="0.39370078740157483" footer="0.27559055118110237"/>
  <pageSetup paperSize="9" scale="59" orientation="portrait" cellComments="asDisplayed" r:id="rId1"/>
  <headerFooter differentOddEven="1" alignWithMargins="0">
    <oddFooter xml:space="preserve">&amp;L&amp;D&amp;RVersion 1.0-2013
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'Stundensaetze PersonalUni'!$A$2:$A$41</xm:f>
          </x14:formula1>
          <xm:sqref>K52:K54 K63:K66</xm:sqref>
        </x14:dataValidation>
        <x14:dataValidation type="list" allowBlank="1" showInputMessage="1" showErrorMessage="1">
          <x14:formula1>
            <xm:f>'Stundensaetze PersonalUni'!$A$40:$A$41</xm:f>
          </x14:formula1>
          <xm:sqref>K56:K57</xm:sqref>
        </x14:dataValidation>
        <x14:dataValidation type="list" allowBlank="1" showInputMessage="1" showErrorMessage="1">
          <x14:formula1>
            <xm:f>'Stundensaetze PersonalUni'!$A$32:$A$36</xm:f>
          </x14:formula1>
          <xm:sqref>K62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theme="3" tint="0.39997558519241921"/>
  </sheetPr>
  <dimension ref="A1:V101"/>
  <sheetViews>
    <sheetView view="pageBreakPreview" zoomScale="90" zoomScaleNormal="100" zoomScaleSheetLayoutView="90" workbookViewId="0">
      <selection activeCell="E57" sqref="E57:I57"/>
    </sheetView>
  </sheetViews>
  <sheetFormatPr baseColWidth="10" defaultRowHeight="12.75" outlineLevelRow="1" x14ac:dyDescent="0.2"/>
  <cols>
    <col min="1" max="1" width="4.28515625" style="195" customWidth="1"/>
    <col min="2" max="2" width="7" style="195" customWidth="1"/>
    <col min="3" max="3" width="4.85546875" style="195" customWidth="1"/>
    <col min="4" max="4" width="3.28515625" style="195" customWidth="1"/>
    <col min="5" max="5" width="26.42578125" style="195" customWidth="1"/>
    <col min="6" max="6" width="3.140625" style="195" customWidth="1"/>
    <col min="7" max="7" width="5.7109375" style="195" customWidth="1"/>
    <col min="8" max="8" width="10.85546875" style="195" customWidth="1"/>
    <col min="9" max="9" width="13.140625" style="195" customWidth="1"/>
    <col min="10" max="10" width="10.28515625" style="195" customWidth="1"/>
    <col min="11" max="11" width="10.7109375" style="195" customWidth="1"/>
    <col min="12" max="12" width="3.42578125" style="195" customWidth="1"/>
    <col min="13" max="15" width="10.28515625" style="195" customWidth="1"/>
    <col min="16" max="16" width="14.5703125" style="195" customWidth="1"/>
    <col min="17" max="17" width="3.140625" style="195" customWidth="1"/>
    <col min="18" max="18" width="14" style="195" customWidth="1"/>
    <col min="19" max="19" width="11.42578125" style="195" hidden="1" customWidth="1"/>
    <col min="20" max="16384" width="11.42578125" style="195"/>
  </cols>
  <sheetData>
    <row r="1" spans="1:22" ht="55.5" customHeight="1" x14ac:dyDescent="0.2">
      <c r="B1" s="688" t="s">
        <v>95</v>
      </c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90"/>
    </row>
    <row r="3" spans="1:22" ht="9.75" customHeight="1" x14ac:dyDescent="0.2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22" ht="6" customHeight="1" x14ac:dyDescent="0.2">
      <c r="A4" s="196"/>
      <c r="B4" s="197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9"/>
      <c r="Q4" s="196"/>
    </row>
    <row r="5" spans="1:22" x14ac:dyDescent="0.2">
      <c r="A5" s="196"/>
      <c r="B5" s="200" t="s">
        <v>1</v>
      </c>
      <c r="C5" s="201" t="s">
        <v>2</v>
      </c>
      <c r="D5" s="175"/>
      <c r="E5" s="175"/>
      <c r="F5" s="175"/>
      <c r="G5" s="691">
        <f>+'Vorkalkulation_% GKZ'!G5</f>
        <v>0</v>
      </c>
      <c r="H5" s="692"/>
      <c r="I5" s="692"/>
      <c r="J5" s="692"/>
      <c r="K5" s="692"/>
      <c r="L5" s="693"/>
      <c r="M5" s="202"/>
      <c r="N5" s="202"/>
      <c r="O5" s="203" t="s">
        <v>3</v>
      </c>
      <c r="P5" s="204">
        <f>+'Vorkalkulation_% GKZ'!P5</f>
        <v>0</v>
      </c>
      <c r="Q5" s="196"/>
      <c r="S5" s="205">
        <v>0.19</v>
      </c>
    </row>
    <row r="6" spans="1:22" ht="6" customHeight="1" x14ac:dyDescent="0.2">
      <c r="A6" s="196"/>
      <c r="B6" s="206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207"/>
      <c r="Q6" s="196"/>
      <c r="S6" s="205">
        <v>7.0000000000000007E-2</v>
      </c>
    </row>
    <row r="7" spans="1:22" x14ac:dyDescent="0.2">
      <c r="A7" s="196"/>
      <c r="B7" s="200" t="s">
        <v>4</v>
      </c>
      <c r="C7" s="201" t="s">
        <v>5</v>
      </c>
      <c r="D7" s="175"/>
      <c r="E7" s="175"/>
      <c r="F7" s="175"/>
      <c r="G7" s="691">
        <f>+'Vorkalkulation_% GKZ'!G7</f>
        <v>0</v>
      </c>
      <c r="H7" s="692"/>
      <c r="I7" s="693"/>
      <c r="J7" s="208"/>
      <c r="K7" s="208"/>
      <c r="L7" s="209"/>
      <c r="M7" s="208"/>
      <c r="N7" s="202"/>
      <c r="O7" s="210" t="s">
        <v>6</v>
      </c>
      <c r="P7" s="211">
        <f>+'Vorkalkulation_% GKZ'!P7</f>
        <v>0</v>
      </c>
      <c r="Q7" s="196"/>
    </row>
    <row r="8" spans="1:22" ht="5.25" customHeight="1" x14ac:dyDescent="0.2">
      <c r="A8" s="196"/>
      <c r="B8" s="200"/>
      <c r="C8" s="201"/>
      <c r="D8" s="175"/>
      <c r="E8" s="175"/>
      <c r="F8" s="175"/>
      <c r="G8" s="175"/>
      <c r="H8" s="175"/>
      <c r="I8" s="212"/>
      <c r="J8" s="213"/>
      <c r="K8" s="213"/>
      <c r="L8" s="213"/>
      <c r="M8" s="213"/>
      <c r="N8" s="213"/>
      <c r="O8" s="213"/>
      <c r="P8" s="214"/>
      <c r="Q8" s="196"/>
    </row>
    <row r="9" spans="1:22" ht="15" customHeight="1" x14ac:dyDescent="0.2">
      <c r="A9" s="196"/>
      <c r="B9" s="206"/>
      <c r="C9" s="175"/>
      <c r="D9" s="175"/>
      <c r="E9" s="175"/>
      <c r="F9" s="175"/>
      <c r="G9" s="175"/>
      <c r="H9" s="215" t="s">
        <v>7</v>
      </c>
      <c r="I9" s="215" t="s">
        <v>8</v>
      </c>
      <c r="J9" s="215" t="s">
        <v>9</v>
      </c>
      <c r="K9" s="202"/>
      <c r="L9" s="215"/>
      <c r="M9" s="216" t="s">
        <v>7</v>
      </c>
      <c r="N9" s="216" t="s">
        <v>8</v>
      </c>
      <c r="O9" s="216" t="s">
        <v>9</v>
      </c>
      <c r="P9" s="217"/>
      <c r="Q9" s="196"/>
      <c r="R9" s="28"/>
      <c r="S9" s="28"/>
      <c r="T9" s="29"/>
      <c r="U9" s="30">
        <v>13</v>
      </c>
      <c r="V9" s="29">
        <f>+O10</f>
        <v>2020</v>
      </c>
    </row>
    <row r="10" spans="1:22" x14ac:dyDescent="0.2">
      <c r="A10" s="196"/>
      <c r="B10" s="200" t="s">
        <v>10</v>
      </c>
      <c r="C10" s="201" t="s">
        <v>11</v>
      </c>
      <c r="D10" s="175"/>
      <c r="E10" s="175"/>
      <c r="F10" s="175"/>
      <c r="G10" s="218" t="s">
        <v>12</v>
      </c>
      <c r="H10" s="219">
        <f>+'Vorkalkulation_% GKZ'!H10</f>
        <v>1</v>
      </c>
      <c r="I10" s="220" t="str">
        <f>+'Vorkalkulation_% GKZ'!I10</f>
        <v>Januar</v>
      </c>
      <c r="J10" s="221">
        <f>+'Vorkalkulation_% GKZ'!J10</f>
        <v>2020</v>
      </c>
      <c r="K10" s="208"/>
      <c r="L10" s="222" t="s">
        <v>14</v>
      </c>
      <c r="M10" s="219">
        <f>+'Vorkalkulation_% GKZ'!M10</f>
        <v>31</v>
      </c>
      <c r="N10" s="223" t="str">
        <f>+'Vorkalkulation_% GKZ'!N10</f>
        <v>Dezember</v>
      </c>
      <c r="O10" s="221">
        <f>+'Vorkalkulation_% GKZ'!O10</f>
        <v>2020</v>
      </c>
      <c r="P10" s="224"/>
      <c r="R10" s="28"/>
      <c r="S10" s="28"/>
      <c r="T10" s="29"/>
      <c r="U10" s="30">
        <v>1</v>
      </c>
      <c r="V10" s="29">
        <f>+J10</f>
        <v>2020</v>
      </c>
    </row>
    <row r="11" spans="1:22" ht="6" customHeight="1" x14ac:dyDescent="0.2">
      <c r="A11" s="196"/>
      <c r="B11" s="200"/>
      <c r="C11" s="201"/>
      <c r="D11" s="175"/>
      <c r="E11" s="175"/>
      <c r="F11" s="175"/>
      <c r="G11" s="175"/>
      <c r="H11" s="175"/>
      <c r="I11" s="212"/>
      <c r="J11" s="213"/>
      <c r="K11" s="213"/>
      <c r="L11" s="213"/>
      <c r="M11" s="213"/>
      <c r="N11" s="213"/>
      <c r="O11" s="213"/>
      <c r="P11" s="207"/>
      <c r="Q11" s="196"/>
      <c r="R11" s="28"/>
      <c r="S11" s="28"/>
      <c r="T11" s="28"/>
      <c r="U11" s="28"/>
      <c r="V11" s="28"/>
    </row>
    <row r="12" spans="1:22" x14ac:dyDescent="0.2">
      <c r="A12" s="196"/>
      <c r="B12" s="200" t="s">
        <v>16</v>
      </c>
      <c r="C12" s="201" t="s">
        <v>17</v>
      </c>
      <c r="D12" s="175"/>
      <c r="E12" s="175"/>
      <c r="F12" s="175"/>
      <c r="G12" s="694" t="str">
        <f>+'Vorkalkulation_% GKZ'!G12:I12</f>
        <v>Geisteswissenschaften</v>
      </c>
      <c r="H12" s="695"/>
      <c r="I12" s="696"/>
      <c r="J12" s="212"/>
      <c r="K12" s="213"/>
      <c r="L12" s="213"/>
      <c r="M12" s="213"/>
      <c r="N12" s="225"/>
      <c r="O12" s="225"/>
      <c r="P12" s="224"/>
      <c r="Q12" s="196"/>
      <c r="R12" s="28" t="s">
        <v>19</v>
      </c>
      <c r="S12" s="28"/>
      <c r="T12" s="29">
        <f>+U12+V12</f>
        <v>12</v>
      </c>
      <c r="U12" s="29">
        <f>+U9-U10</f>
        <v>12</v>
      </c>
      <c r="V12" s="29">
        <f>(+V9-V10)*12</f>
        <v>0</v>
      </c>
    </row>
    <row r="13" spans="1:22" ht="6" customHeight="1" x14ac:dyDescent="0.2">
      <c r="A13" s="196"/>
      <c r="B13" s="226"/>
      <c r="C13" s="227"/>
      <c r="D13" s="228"/>
      <c r="E13" s="228"/>
      <c r="F13" s="228"/>
      <c r="G13" s="228"/>
      <c r="H13" s="228"/>
      <c r="I13" s="229"/>
      <c r="J13" s="229"/>
      <c r="K13" s="229"/>
      <c r="L13" s="229"/>
      <c r="M13" s="229"/>
      <c r="N13" s="229"/>
      <c r="O13" s="229"/>
      <c r="P13" s="230"/>
      <c r="Q13" s="196"/>
    </row>
    <row r="14" spans="1:22" x14ac:dyDescent="0.2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</row>
    <row r="15" spans="1:22" ht="6" customHeight="1" x14ac:dyDescent="0.2">
      <c r="A15" s="196"/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9"/>
      <c r="Q15" s="196"/>
    </row>
    <row r="16" spans="1:22" s="236" customFormat="1" hidden="1" outlineLevel="1" x14ac:dyDescent="0.2">
      <c r="A16" s="231"/>
      <c r="B16" s="232" t="s">
        <v>20</v>
      </c>
      <c r="C16" s="233" t="s">
        <v>21</v>
      </c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5"/>
      <c r="Q16" s="231"/>
    </row>
    <row r="17" spans="1:17" s="236" customFormat="1" ht="6" hidden="1" customHeight="1" outlineLevel="1" x14ac:dyDescent="0.2">
      <c r="A17" s="231"/>
      <c r="B17" s="23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5"/>
      <c r="Q17" s="231"/>
    </row>
    <row r="18" spans="1:17" s="236" customFormat="1" hidden="1" outlineLevel="1" x14ac:dyDescent="0.2">
      <c r="A18" s="231"/>
      <c r="B18" s="237"/>
      <c r="C18" s="238" t="s">
        <v>22</v>
      </c>
      <c r="D18" s="233" t="s">
        <v>23</v>
      </c>
      <c r="E18" s="234"/>
      <c r="F18" s="239"/>
      <c r="G18" s="239"/>
      <c r="H18" s="240" t="s">
        <v>24</v>
      </c>
      <c r="J18" s="241"/>
      <c r="K18" s="242"/>
      <c r="L18" s="243"/>
      <c r="M18" s="243" t="str">
        <f>IF($H$12="ja","Betrag brutto","")</f>
        <v/>
      </c>
      <c r="N18" s="234"/>
      <c r="O18" s="234"/>
      <c r="P18" s="235"/>
      <c r="Q18" s="231"/>
    </row>
    <row r="19" spans="1:17" s="236" customFormat="1" hidden="1" outlineLevel="1" x14ac:dyDescent="0.2">
      <c r="A19" s="231"/>
      <c r="B19" s="237"/>
      <c r="C19" s="234"/>
      <c r="D19" s="244"/>
      <c r="E19" s="241"/>
      <c r="F19" s="239"/>
      <c r="G19" s="239"/>
      <c r="I19" s="245"/>
      <c r="J19" s="239"/>
      <c r="K19" s="239"/>
      <c r="L19" s="239"/>
      <c r="M19" s="241"/>
      <c r="N19" s="234"/>
      <c r="O19" s="234"/>
      <c r="P19" s="235"/>
      <c r="Q19" s="231"/>
    </row>
    <row r="20" spans="1:17" s="236" customFormat="1" hidden="1" outlineLevel="1" x14ac:dyDescent="0.2">
      <c r="A20" s="231"/>
      <c r="B20" s="237"/>
      <c r="C20" s="234"/>
      <c r="D20" s="244"/>
      <c r="E20" s="239"/>
      <c r="F20" s="239"/>
      <c r="G20" s="239"/>
      <c r="H20" s="239"/>
      <c r="I20" s="246"/>
      <c r="J20" s="247"/>
      <c r="K20" s="248"/>
      <c r="L20" s="248"/>
      <c r="M20" s="249"/>
      <c r="N20" s="234"/>
      <c r="O20" s="234"/>
      <c r="P20" s="235"/>
      <c r="Q20" s="231"/>
    </row>
    <row r="21" spans="1:17" s="236" customFormat="1" hidden="1" outlineLevel="1" x14ac:dyDescent="0.2">
      <c r="A21" s="231"/>
      <c r="B21" s="237"/>
      <c r="C21" s="234"/>
      <c r="D21" s="244"/>
      <c r="E21" s="233" t="s">
        <v>26</v>
      </c>
      <c r="F21" s="250"/>
      <c r="G21" s="697"/>
      <c r="H21" s="698"/>
      <c r="I21" s="251">
        <v>0.19</v>
      </c>
      <c r="J21" s="252"/>
      <c r="K21" s="253">
        <f>SUM(G21+(G21*I21))</f>
        <v>0</v>
      </c>
      <c r="L21" s="239"/>
      <c r="M21" s="241"/>
      <c r="N21" s="234"/>
      <c r="O21" s="234"/>
      <c r="P21" s="235"/>
      <c r="Q21" s="231"/>
    </row>
    <row r="22" spans="1:17" s="236" customFormat="1" hidden="1" outlineLevel="1" x14ac:dyDescent="0.2">
      <c r="A22" s="231"/>
      <c r="B22" s="237"/>
      <c r="C22" s="234"/>
      <c r="D22" s="244"/>
      <c r="E22" s="241"/>
      <c r="F22" s="239"/>
      <c r="G22" s="239"/>
      <c r="H22" s="247"/>
      <c r="I22" s="239"/>
      <c r="J22" s="254"/>
      <c r="K22" s="239"/>
      <c r="L22" s="239"/>
      <c r="M22" s="249"/>
      <c r="N22" s="234"/>
      <c r="O22" s="234"/>
      <c r="P22" s="235"/>
      <c r="Q22" s="231"/>
    </row>
    <row r="23" spans="1:17" s="236" customFormat="1" hidden="1" outlineLevel="1" x14ac:dyDescent="0.2">
      <c r="A23" s="231"/>
      <c r="B23" s="237"/>
      <c r="C23" s="234"/>
      <c r="D23" s="244"/>
      <c r="E23" s="233" t="s">
        <v>27</v>
      </c>
      <c r="F23" s="250"/>
      <c r="G23" s="697"/>
      <c r="H23" s="698"/>
      <c r="I23" s="251">
        <v>0.19</v>
      </c>
      <c r="J23" s="252"/>
      <c r="K23" s="253">
        <f>SUM(G23+(G23*I23))</f>
        <v>0</v>
      </c>
      <c r="L23" s="239"/>
      <c r="M23" s="241"/>
      <c r="N23" s="234"/>
      <c r="O23" s="234"/>
      <c r="P23" s="235"/>
      <c r="Q23" s="231"/>
    </row>
    <row r="24" spans="1:17" s="236" customFormat="1" hidden="1" outlineLevel="1" x14ac:dyDescent="0.2">
      <c r="A24" s="231"/>
      <c r="B24" s="237"/>
      <c r="C24" s="234"/>
      <c r="D24" s="244"/>
      <c r="E24" s="241"/>
      <c r="F24" s="239"/>
      <c r="G24" s="239"/>
      <c r="H24" s="247"/>
      <c r="I24" s="239"/>
      <c r="J24" s="252"/>
      <c r="K24" s="239"/>
      <c r="L24" s="239"/>
      <c r="M24" s="249"/>
      <c r="N24" s="234"/>
      <c r="O24" s="234"/>
      <c r="P24" s="235"/>
      <c r="Q24" s="231"/>
    </row>
    <row r="25" spans="1:17" s="236" customFormat="1" hidden="1" outlineLevel="1" x14ac:dyDescent="0.2">
      <c r="A25" s="231"/>
      <c r="B25" s="237"/>
      <c r="C25" s="234"/>
      <c r="D25" s="244"/>
      <c r="E25" s="233" t="s">
        <v>29</v>
      </c>
      <c r="F25" s="250"/>
      <c r="G25" s="697"/>
      <c r="H25" s="698"/>
      <c r="I25" s="251">
        <v>0.19</v>
      </c>
      <c r="J25" s="252"/>
      <c r="K25" s="253">
        <f>SUM(G25+(G25*I25))</f>
        <v>0</v>
      </c>
      <c r="L25" s="239"/>
      <c r="M25" s="241"/>
      <c r="N25" s="234"/>
      <c r="O25" s="234"/>
      <c r="P25" s="235"/>
      <c r="Q25" s="231"/>
    </row>
    <row r="26" spans="1:17" s="236" customFormat="1" hidden="1" outlineLevel="1" x14ac:dyDescent="0.2">
      <c r="A26" s="231"/>
      <c r="B26" s="237"/>
      <c r="C26" s="234"/>
      <c r="D26" s="244"/>
      <c r="E26" s="241"/>
      <c r="F26" s="239"/>
      <c r="G26" s="239"/>
      <c r="H26" s="247"/>
      <c r="I26" s="239"/>
      <c r="J26" s="252"/>
      <c r="K26" s="239"/>
      <c r="L26" s="239"/>
      <c r="M26" s="249"/>
      <c r="N26" s="234"/>
      <c r="O26" s="234"/>
      <c r="P26" s="235"/>
      <c r="Q26" s="231"/>
    </row>
    <row r="27" spans="1:17" s="236" customFormat="1" hidden="1" outlineLevel="1" x14ac:dyDescent="0.2">
      <c r="A27" s="231"/>
      <c r="B27" s="237"/>
      <c r="C27" s="234"/>
      <c r="D27" s="244"/>
      <c r="E27" s="233" t="s">
        <v>30</v>
      </c>
      <c r="F27" s="250"/>
      <c r="G27" s="697"/>
      <c r="H27" s="698"/>
      <c r="I27" s="251">
        <v>0.19</v>
      </c>
      <c r="J27" s="252"/>
      <c r="K27" s="253">
        <f>SUM(G27+(G27*I27))</f>
        <v>0</v>
      </c>
      <c r="L27" s="239"/>
      <c r="M27" s="241"/>
      <c r="N27" s="234"/>
      <c r="O27" s="234"/>
      <c r="P27" s="235"/>
      <c r="Q27" s="231"/>
    </row>
    <row r="28" spans="1:17" s="236" customFormat="1" hidden="1" outlineLevel="1" x14ac:dyDescent="0.2">
      <c r="A28" s="231"/>
      <c r="B28" s="237"/>
      <c r="C28" s="234"/>
      <c r="D28" s="244"/>
      <c r="E28" s="241"/>
      <c r="F28" s="239"/>
      <c r="G28" s="239"/>
      <c r="H28" s="247"/>
      <c r="I28" s="239"/>
      <c r="J28" s="252"/>
      <c r="K28" s="239"/>
      <c r="L28" s="239"/>
      <c r="M28" s="249"/>
      <c r="N28" s="234"/>
      <c r="O28" s="234"/>
      <c r="P28" s="235"/>
      <c r="Q28" s="231"/>
    </row>
    <row r="29" spans="1:17" s="236" customFormat="1" hidden="1" outlineLevel="1" x14ac:dyDescent="0.2">
      <c r="A29" s="231"/>
      <c r="B29" s="237"/>
      <c r="C29" s="234"/>
      <c r="D29" s="244"/>
      <c r="E29" s="233" t="s">
        <v>31</v>
      </c>
      <c r="F29" s="250"/>
      <c r="G29" s="697"/>
      <c r="H29" s="698"/>
      <c r="I29" s="251">
        <v>0.19</v>
      </c>
      <c r="J29" s="252"/>
      <c r="K29" s="253">
        <f>SUM(G29+(G29*I29))</f>
        <v>0</v>
      </c>
      <c r="L29" s="239"/>
      <c r="M29" s="241"/>
      <c r="N29" s="234"/>
      <c r="O29" s="234"/>
      <c r="P29" s="235"/>
      <c r="Q29" s="231"/>
    </row>
    <row r="30" spans="1:17" s="236" customFormat="1" hidden="1" outlineLevel="1" x14ac:dyDescent="0.2">
      <c r="A30" s="231"/>
      <c r="B30" s="237"/>
      <c r="C30" s="234"/>
      <c r="D30" s="234"/>
      <c r="E30" s="234"/>
      <c r="F30" s="239"/>
      <c r="G30" s="239"/>
      <c r="H30" s="234"/>
      <c r="I30" s="255"/>
      <c r="J30" s="256"/>
      <c r="K30" s="254"/>
      <c r="L30" s="254"/>
      <c r="M30" s="234"/>
      <c r="N30" s="234"/>
      <c r="O30" s="234"/>
      <c r="P30" s="235"/>
      <c r="Q30" s="231"/>
    </row>
    <row r="31" spans="1:17" s="236" customFormat="1" ht="6" hidden="1" customHeight="1" outlineLevel="1" x14ac:dyDescent="0.2">
      <c r="A31" s="231"/>
      <c r="B31" s="237"/>
      <c r="C31" s="234"/>
      <c r="D31" s="234"/>
      <c r="E31" s="234"/>
      <c r="F31" s="234"/>
      <c r="G31" s="234"/>
      <c r="H31" s="234"/>
      <c r="I31" s="257"/>
      <c r="J31" s="256"/>
      <c r="K31" s="234"/>
      <c r="L31" s="234"/>
      <c r="M31" s="234"/>
      <c r="N31" s="234"/>
      <c r="O31" s="234"/>
      <c r="P31" s="235"/>
      <c r="Q31" s="231"/>
    </row>
    <row r="32" spans="1:17" s="236" customFormat="1" hidden="1" outlineLevel="1" x14ac:dyDescent="0.2">
      <c r="A32" s="231"/>
      <c r="B32" s="237"/>
      <c r="C32" s="258" t="s">
        <v>32</v>
      </c>
      <c r="D32" s="259"/>
      <c r="E32" s="259"/>
      <c r="F32" s="259"/>
      <c r="G32" s="259"/>
      <c r="H32" s="260">
        <f>G21+G23+G25+G27+G29</f>
        <v>0</v>
      </c>
      <c r="I32" s="260"/>
      <c r="J32" s="261"/>
      <c r="K32" s="262"/>
      <c r="L32" s="259"/>
      <c r="M32" s="175"/>
      <c r="N32" s="234"/>
      <c r="O32" s="234"/>
      <c r="P32" s="235"/>
      <c r="Q32" s="231"/>
    </row>
    <row r="33" spans="1:20" ht="6" hidden="1" customHeight="1" outlineLevel="1" x14ac:dyDescent="0.2">
      <c r="A33" s="196"/>
      <c r="B33" s="263"/>
      <c r="C33" s="264"/>
      <c r="D33" s="264"/>
      <c r="E33" s="265"/>
      <c r="F33" s="265"/>
      <c r="G33" s="265"/>
      <c r="H33" s="265"/>
      <c r="I33" s="228"/>
      <c r="J33" s="228"/>
      <c r="K33" s="228"/>
      <c r="L33" s="228"/>
      <c r="M33" s="228"/>
      <c r="N33" s="228"/>
      <c r="O33" s="228"/>
      <c r="P33" s="230"/>
      <c r="Q33" s="196"/>
      <c r="T33" s="266"/>
    </row>
    <row r="34" spans="1:20" hidden="1" outlineLevel="1" x14ac:dyDescent="0.2">
      <c r="A34" s="196"/>
      <c r="B34" s="175"/>
      <c r="C34" s="174"/>
      <c r="D34" s="174"/>
      <c r="E34" s="267"/>
      <c r="F34" s="267"/>
      <c r="G34" s="267"/>
      <c r="H34" s="267"/>
      <c r="I34" s="175"/>
      <c r="J34" s="175"/>
      <c r="K34" s="175"/>
      <c r="L34" s="175"/>
      <c r="M34" s="268"/>
      <c r="N34" s="175"/>
      <c r="O34" s="175"/>
      <c r="P34" s="175"/>
      <c r="Q34" s="196"/>
    </row>
    <row r="35" spans="1:20" ht="6" hidden="1" customHeight="1" outlineLevel="1" x14ac:dyDescent="0.2">
      <c r="A35" s="196"/>
      <c r="B35" s="197"/>
      <c r="C35" s="269"/>
      <c r="D35" s="269"/>
      <c r="E35" s="270"/>
      <c r="F35" s="270"/>
      <c r="G35" s="270"/>
      <c r="H35" s="270"/>
      <c r="I35" s="198"/>
      <c r="J35" s="198"/>
      <c r="K35" s="198"/>
      <c r="L35" s="198"/>
      <c r="M35" s="271" t="str">
        <f>IF($H$12="ja","Betrag brutto","")</f>
        <v/>
      </c>
      <c r="N35" s="198"/>
      <c r="O35" s="198"/>
      <c r="P35" s="199"/>
      <c r="Q35" s="196"/>
    </row>
    <row r="36" spans="1:20" ht="6" hidden="1" customHeight="1" outlineLevel="1" x14ac:dyDescent="0.2">
      <c r="A36" s="196"/>
      <c r="B36" s="206"/>
      <c r="C36" s="174"/>
      <c r="D36" s="174"/>
      <c r="E36" s="267"/>
      <c r="F36" s="267"/>
      <c r="G36" s="267"/>
      <c r="H36" s="267"/>
      <c r="I36" s="175"/>
      <c r="J36" s="175"/>
      <c r="K36" s="175"/>
      <c r="L36" s="175"/>
      <c r="M36" s="271"/>
      <c r="N36" s="175"/>
      <c r="O36" s="175"/>
      <c r="P36" s="207"/>
      <c r="Q36" s="196"/>
    </row>
    <row r="37" spans="1:20" hidden="1" outlineLevel="1" x14ac:dyDescent="0.2">
      <c r="A37" s="196"/>
      <c r="B37" s="206"/>
      <c r="C37" s="272" t="s">
        <v>33</v>
      </c>
      <c r="D37" s="201" t="s">
        <v>34</v>
      </c>
      <c r="E37" s="174"/>
      <c r="F37" s="174"/>
      <c r="G37" s="174"/>
      <c r="H37" s="273" t="s">
        <v>24</v>
      </c>
      <c r="K37" s="271"/>
      <c r="L37" s="271"/>
      <c r="M37" s="274"/>
      <c r="N37" s="175"/>
      <c r="O37" s="175"/>
      <c r="P37" s="207"/>
      <c r="Q37" s="196"/>
    </row>
    <row r="38" spans="1:20" ht="13.5" hidden="1" customHeight="1" outlineLevel="1" x14ac:dyDescent="0.2">
      <c r="A38" s="196"/>
      <c r="B38" s="206"/>
      <c r="C38" s="175"/>
      <c r="D38" s="174" t="s">
        <v>96</v>
      </c>
      <c r="E38" s="174"/>
      <c r="F38" s="174"/>
      <c r="G38" s="174"/>
      <c r="H38" s="174"/>
      <c r="I38" s="267"/>
      <c r="J38" s="175"/>
      <c r="K38" s="175"/>
      <c r="L38" s="175"/>
      <c r="M38" s="274"/>
      <c r="N38" s="175"/>
      <c r="O38" s="175"/>
      <c r="P38" s="207"/>
      <c r="Q38" s="196"/>
    </row>
    <row r="39" spans="1:20" ht="6" hidden="1" customHeight="1" outlineLevel="1" x14ac:dyDescent="0.2">
      <c r="A39" s="196"/>
      <c r="B39" s="206"/>
      <c r="C39" s="175"/>
      <c r="D39" s="174"/>
      <c r="E39" s="174"/>
      <c r="F39" s="174"/>
      <c r="G39" s="174"/>
      <c r="H39" s="174"/>
      <c r="I39" s="267"/>
      <c r="J39" s="175"/>
      <c r="K39" s="175"/>
      <c r="L39" s="175"/>
      <c r="M39" s="274"/>
      <c r="N39" s="175"/>
      <c r="O39" s="175"/>
      <c r="P39" s="207"/>
      <c r="Q39" s="196"/>
    </row>
    <row r="40" spans="1:20" ht="15.2" hidden="1" customHeight="1" outlineLevel="1" x14ac:dyDescent="0.2">
      <c r="A40" s="196"/>
      <c r="B40" s="206"/>
      <c r="C40" s="175"/>
      <c r="D40" s="174" t="s">
        <v>36</v>
      </c>
      <c r="E40" s="174"/>
      <c r="F40" s="174"/>
      <c r="G40" s="699">
        <v>0</v>
      </c>
      <c r="H40" s="699"/>
      <c r="I40" s="275"/>
      <c r="K40" s="274"/>
      <c r="L40" s="175"/>
      <c r="M40" s="274"/>
      <c r="N40" s="175"/>
      <c r="O40" s="175"/>
      <c r="P40" s="207"/>
      <c r="Q40" s="196"/>
    </row>
    <row r="41" spans="1:20" hidden="1" outlineLevel="1" x14ac:dyDescent="0.2">
      <c r="A41" s="196"/>
      <c r="B41" s="206"/>
      <c r="C41" s="175"/>
      <c r="D41" s="174"/>
      <c r="E41" s="174"/>
      <c r="F41" s="174"/>
      <c r="G41" s="174"/>
      <c r="H41" s="174"/>
      <c r="I41" s="267"/>
      <c r="J41" s="175"/>
      <c r="K41" s="175"/>
      <c r="L41" s="175"/>
      <c r="M41" s="274"/>
      <c r="N41" s="175"/>
      <c r="O41" s="175"/>
      <c r="P41" s="207"/>
      <c r="Q41" s="196"/>
    </row>
    <row r="42" spans="1:20" ht="6" hidden="1" customHeight="1" outlineLevel="1" x14ac:dyDescent="0.2">
      <c r="A42" s="196"/>
      <c r="B42" s="206"/>
      <c r="C42" s="175"/>
      <c r="D42" s="174"/>
      <c r="E42" s="174"/>
      <c r="F42" s="174"/>
      <c r="G42" s="174"/>
      <c r="H42" s="174"/>
      <c r="I42" s="267"/>
      <c r="J42" s="175"/>
      <c r="K42" s="175"/>
      <c r="L42" s="175"/>
      <c r="M42" s="274"/>
      <c r="N42" s="175"/>
      <c r="O42" s="175"/>
      <c r="P42" s="207"/>
      <c r="Q42" s="196"/>
    </row>
    <row r="43" spans="1:20" hidden="1" outlineLevel="1" x14ac:dyDescent="0.2">
      <c r="A43" s="196"/>
      <c r="B43" s="206"/>
      <c r="C43" s="276" t="s">
        <v>37</v>
      </c>
      <c r="D43" s="277"/>
      <c r="E43" s="278"/>
      <c r="F43" s="278"/>
      <c r="G43" s="700">
        <f>G40</f>
        <v>0</v>
      </c>
      <c r="H43" s="700"/>
      <c r="I43" s="260"/>
      <c r="J43" s="279"/>
      <c r="K43" s="278"/>
      <c r="L43" s="278"/>
      <c r="M43" s="274"/>
      <c r="N43" s="175"/>
      <c r="O43" s="175"/>
      <c r="P43" s="207"/>
      <c r="Q43" s="196"/>
    </row>
    <row r="44" spans="1:20" ht="6" customHeight="1" collapsed="1" x14ac:dyDescent="0.2">
      <c r="A44" s="196"/>
      <c r="B44" s="263"/>
      <c r="C44" s="228"/>
      <c r="D44" s="264"/>
      <c r="E44" s="264"/>
      <c r="F44" s="264"/>
      <c r="G44" s="264"/>
      <c r="H44" s="264"/>
      <c r="I44" s="265"/>
      <c r="J44" s="228"/>
      <c r="K44" s="228"/>
      <c r="L44" s="228"/>
      <c r="M44" s="228"/>
      <c r="N44" s="228"/>
      <c r="O44" s="228"/>
      <c r="P44" s="230"/>
      <c r="Q44" s="196"/>
    </row>
    <row r="45" spans="1:20" ht="6" customHeight="1" x14ac:dyDescent="0.2">
      <c r="A45" s="196"/>
      <c r="B45" s="175"/>
      <c r="C45" s="175"/>
      <c r="D45" s="174"/>
      <c r="E45" s="174"/>
      <c r="F45" s="174"/>
      <c r="G45" s="174"/>
      <c r="H45" s="174"/>
      <c r="I45" s="267"/>
      <c r="J45" s="175"/>
      <c r="K45" s="175"/>
      <c r="L45" s="175"/>
      <c r="M45" s="175"/>
      <c r="N45" s="175"/>
      <c r="O45" s="175"/>
      <c r="P45" s="175"/>
      <c r="Q45" s="196"/>
    </row>
    <row r="46" spans="1:20" ht="6" customHeight="1" x14ac:dyDescent="0.2">
      <c r="A46" s="196"/>
      <c r="B46" s="175"/>
      <c r="C46" s="175"/>
      <c r="D46" s="174"/>
      <c r="E46" s="174"/>
      <c r="F46" s="174"/>
      <c r="G46" s="174"/>
      <c r="H46" s="174"/>
      <c r="I46" s="267"/>
      <c r="J46" s="175"/>
      <c r="K46" s="175"/>
      <c r="L46" s="175"/>
      <c r="M46" s="175"/>
      <c r="N46" s="175"/>
      <c r="O46" s="175"/>
      <c r="P46" s="175"/>
      <c r="Q46" s="196"/>
    </row>
    <row r="47" spans="1:20" ht="6" customHeight="1" x14ac:dyDescent="0.2">
      <c r="A47" s="196"/>
      <c r="B47" s="175"/>
      <c r="C47" s="175"/>
      <c r="D47" s="174"/>
      <c r="E47" s="174"/>
      <c r="F47" s="174"/>
      <c r="G47" s="174"/>
      <c r="H47" s="174"/>
      <c r="I47" s="267"/>
      <c r="J47" s="175"/>
      <c r="K47" s="175"/>
      <c r="L47" s="175"/>
      <c r="M47" s="175"/>
      <c r="N47" s="175"/>
      <c r="O47" s="175"/>
      <c r="P47" s="175"/>
      <c r="Q47" s="196"/>
    </row>
    <row r="48" spans="1:20" ht="6" customHeight="1" x14ac:dyDescent="0.2">
      <c r="A48" s="196"/>
      <c r="B48" s="175"/>
      <c r="C48" s="175"/>
      <c r="D48" s="174"/>
      <c r="E48" s="174"/>
      <c r="F48" s="174"/>
      <c r="G48" s="174"/>
      <c r="H48" s="174"/>
      <c r="I48" s="267"/>
      <c r="J48" s="175"/>
      <c r="K48" s="175"/>
      <c r="L48" s="175"/>
      <c r="M48" s="175"/>
      <c r="N48" s="175"/>
      <c r="O48" s="175"/>
      <c r="P48" s="175"/>
      <c r="Q48" s="196"/>
    </row>
    <row r="49" spans="1:19" ht="6" customHeight="1" x14ac:dyDescent="0.2">
      <c r="A49" s="196"/>
      <c r="B49" s="175"/>
      <c r="C49" s="175"/>
      <c r="D49" s="174"/>
      <c r="E49" s="174"/>
      <c r="F49" s="174"/>
      <c r="G49" s="174"/>
      <c r="H49" s="174"/>
      <c r="I49" s="267"/>
      <c r="J49" s="175"/>
      <c r="K49" s="175"/>
      <c r="L49" s="175"/>
      <c r="M49" s="175"/>
      <c r="N49" s="175"/>
      <c r="O49" s="175"/>
      <c r="P49" s="175"/>
      <c r="Q49" s="196"/>
    </row>
    <row r="50" spans="1:19" ht="6" customHeight="1" x14ac:dyDescent="0.2">
      <c r="A50" s="196"/>
      <c r="B50" s="175"/>
      <c r="C50" s="175"/>
      <c r="D50" s="174"/>
      <c r="E50" s="174"/>
      <c r="F50" s="174"/>
      <c r="G50" s="174"/>
      <c r="H50" s="174"/>
      <c r="I50" s="267"/>
      <c r="J50" s="175"/>
      <c r="K50" s="175"/>
      <c r="L50" s="175"/>
      <c r="M50" s="175"/>
      <c r="N50" s="175"/>
      <c r="O50" s="175"/>
      <c r="P50" s="175"/>
      <c r="Q50" s="196"/>
    </row>
    <row r="51" spans="1:19" ht="6" customHeight="1" x14ac:dyDescent="0.2">
      <c r="A51" s="196"/>
      <c r="B51" s="175"/>
      <c r="C51" s="175"/>
      <c r="D51" s="174"/>
      <c r="E51" s="174"/>
      <c r="F51" s="174"/>
      <c r="G51" s="174"/>
      <c r="H51" s="174"/>
      <c r="I51" s="267"/>
      <c r="J51" s="175"/>
      <c r="K51" s="175"/>
      <c r="L51" s="175"/>
      <c r="M51" s="175"/>
      <c r="N51" s="175"/>
      <c r="O51" s="175"/>
      <c r="P51" s="175"/>
      <c r="Q51" s="196"/>
    </row>
    <row r="52" spans="1:19" x14ac:dyDescent="0.2">
      <c r="A52" s="196"/>
      <c r="B52" s="175"/>
      <c r="C52" s="175"/>
      <c r="D52" s="174"/>
      <c r="E52" s="174"/>
      <c r="F52" s="174"/>
      <c r="G52" s="174"/>
      <c r="H52" s="174"/>
      <c r="I52" s="267"/>
      <c r="J52" s="175"/>
      <c r="K52" s="175"/>
      <c r="L52" s="175"/>
      <c r="M52" s="175"/>
      <c r="N52" s="175"/>
      <c r="O52" s="175"/>
      <c r="P52" s="175"/>
      <c r="Q52" s="196"/>
    </row>
    <row r="53" spans="1:19" ht="6" customHeight="1" x14ac:dyDescent="0.2">
      <c r="A53" s="196"/>
      <c r="B53" s="197"/>
      <c r="C53" s="198"/>
      <c r="D53" s="269"/>
      <c r="E53" s="269"/>
      <c r="F53" s="269"/>
      <c r="G53" s="269"/>
      <c r="H53" s="269"/>
      <c r="I53" s="270"/>
      <c r="J53" s="198"/>
      <c r="K53" s="198"/>
      <c r="L53" s="198"/>
      <c r="M53" s="198"/>
      <c r="N53" s="198"/>
      <c r="O53" s="198"/>
      <c r="P53" s="199"/>
      <c r="Q53" s="196"/>
    </row>
    <row r="54" spans="1:19" ht="15.75" x14ac:dyDescent="0.25">
      <c r="A54" s="196"/>
      <c r="B54" s="206"/>
      <c r="C54" s="280"/>
      <c r="D54" s="281" t="s">
        <v>97</v>
      </c>
      <c r="E54" s="282"/>
      <c r="F54" s="174"/>
      <c r="G54" s="174"/>
      <c r="H54" s="174"/>
      <c r="I54" s="267"/>
      <c r="J54" s="175"/>
      <c r="K54" s="175"/>
      <c r="L54" s="175"/>
      <c r="M54" s="175"/>
      <c r="N54" s="175"/>
      <c r="O54" s="175"/>
      <c r="P54" s="207"/>
      <c r="Q54" s="196"/>
    </row>
    <row r="55" spans="1:19" s="290" customFormat="1" ht="24" customHeight="1" x14ac:dyDescent="0.2">
      <c r="A55" s="283"/>
      <c r="B55" s="284"/>
      <c r="C55" s="285"/>
      <c r="D55" s="286" t="s">
        <v>98</v>
      </c>
      <c r="E55" s="212"/>
      <c r="F55" s="212"/>
      <c r="G55" s="212"/>
      <c r="H55" s="212"/>
      <c r="I55" s="287"/>
      <c r="J55" s="287"/>
      <c r="K55" s="287"/>
      <c r="L55" s="287"/>
      <c r="M55" s="287"/>
      <c r="N55" s="287"/>
      <c r="O55" s="288"/>
      <c r="P55" s="289"/>
      <c r="Q55" s="283"/>
    </row>
    <row r="56" spans="1:19" s="294" customFormat="1" ht="34.5" customHeight="1" x14ac:dyDescent="0.2">
      <c r="A56" s="291"/>
      <c r="B56" s="292"/>
      <c r="C56" s="178"/>
      <c r="D56" s="178"/>
      <c r="E56" s="293"/>
      <c r="F56" s="293"/>
      <c r="G56" s="293"/>
      <c r="I56" s="295"/>
      <c r="J56" s="295"/>
      <c r="K56" s="295" t="s">
        <v>99</v>
      </c>
      <c r="L56" s="296"/>
      <c r="M56" s="687" t="s">
        <v>100</v>
      </c>
      <c r="N56" s="687"/>
      <c r="O56" s="297"/>
      <c r="P56" s="298" t="s">
        <v>101</v>
      </c>
      <c r="Q56" s="291"/>
    </row>
    <row r="57" spans="1:19" ht="19.5" customHeight="1" x14ac:dyDescent="0.2">
      <c r="A57" s="196"/>
      <c r="B57" s="206"/>
      <c r="C57" s="174"/>
      <c r="D57" s="174"/>
      <c r="E57" s="684"/>
      <c r="F57" s="685"/>
      <c r="G57" s="685"/>
      <c r="H57" s="685"/>
      <c r="I57" s="686"/>
      <c r="J57" s="299"/>
      <c r="K57" s="300"/>
      <c r="L57" s="301"/>
      <c r="M57" s="682" t="str">
        <f>IF(E57="","",VLOOKUP(E57,Hilfstabelle!C35:D53,2,FALSE))</f>
        <v/>
      </c>
      <c r="N57" s="683"/>
      <c r="O57" s="127"/>
      <c r="P57" s="128" t="str">
        <f>IF(E57="","",K57*M57)</f>
        <v/>
      </c>
      <c r="Q57" s="196"/>
      <c r="R57" s="129"/>
      <c r="S57" s="302"/>
    </row>
    <row r="58" spans="1:19" ht="19.5" customHeight="1" x14ac:dyDescent="0.2">
      <c r="A58" s="196"/>
      <c r="B58" s="206"/>
      <c r="C58" s="175"/>
      <c r="D58" s="174"/>
      <c r="E58" s="684"/>
      <c r="F58" s="685"/>
      <c r="G58" s="685"/>
      <c r="H58" s="685"/>
      <c r="I58" s="686"/>
      <c r="J58" s="299"/>
      <c r="K58" s="300"/>
      <c r="L58" s="301"/>
      <c r="M58" s="682" t="str">
        <f>IF(E58="","",VLOOKUP(E58,Hilfstabelle!C36:D54,2,FALSE))</f>
        <v/>
      </c>
      <c r="N58" s="683"/>
      <c r="O58" s="127"/>
      <c r="P58" s="128" t="str">
        <f t="shared" ref="P58:P71" si="0">IF(E58="","",K58*M58)</f>
        <v/>
      </c>
      <c r="Q58" s="196"/>
      <c r="S58" s="302"/>
    </row>
    <row r="59" spans="1:19" ht="19.5" customHeight="1" x14ac:dyDescent="0.2">
      <c r="A59" s="196"/>
      <c r="B59" s="206"/>
      <c r="C59" s="175"/>
      <c r="D59" s="174"/>
      <c r="E59" s="684"/>
      <c r="F59" s="685"/>
      <c r="G59" s="685"/>
      <c r="H59" s="685"/>
      <c r="I59" s="686"/>
      <c r="J59" s="299"/>
      <c r="K59" s="300"/>
      <c r="L59" s="301"/>
      <c r="M59" s="682" t="str">
        <f>IF(E59="","",VLOOKUP(E59,Hilfstabelle!C37:D55,2,FALSE))</f>
        <v/>
      </c>
      <c r="N59" s="683"/>
      <c r="O59" s="127"/>
      <c r="P59" s="128" t="str">
        <f t="shared" si="0"/>
        <v/>
      </c>
      <c r="Q59" s="196"/>
      <c r="R59" s="303"/>
    </row>
    <row r="60" spans="1:19" s="294" customFormat="1" ht="19.5" customHeight="1" x14ac:dyDescent="0.2">
      <c r="A60" s="291"/>
      <c r="B60" s="292"/>
      <c r="C60" s="178"/>
      <c r="D60" s="178"/>
      <c r="E60" s="684"/>
      <c r="F60" s="685"/>
      <c r="G60" s="685"/>
      <c r="H60" s="685"/>
      <c r="I60" s="686"/>
      <c r="J60" s="304"/>
      <c r="K60" s="300"/>
      <c r="L60" s="304"/>
      <c r="M60" s="682" t="str">
        <f>IF(E60="","",VLOOKUP(E60,Hilfstabelle!C38:D56,2,FALSE))</f>
        <v/>
      </c>
      <c r="N60" s="683"/>
      <c r="O60" s="297"/>
      <c r="P60" s="128" t="str">
        <f t="shared" si="0"/>
        <v/>
      </c>
      <c r="Q60" s="291"/>
    </row>
    <row r="61" spans="1:19" ht="19.5" customHeight="1" x14ac:dyDescent="0.2">
      <c r="A61" s="196"/>
      <c r="B61" s="206"/>
      <c r="C61" s="175"/>
      <c r="D61" s="174"/>
      <c r="E61" s="684"/>
      <c r="F61" s="685"/>
      <c r="G61" s="685"/>
      <c r="H61" s="685"/>
      <c r="I61" s="686"/>
      <c r="J61" s="305"/>
      <c r="K61" s="300"/>
      <c r="L61" s="301"/>
      <c r="M61" s="682" t="str">
        <f>IF(E61="","",VLOOKUP(E61,Hilfstabelle!C39:D57,2,FALSE))</f>
        <v/>
      </c>
      <c r="N61" s="683"/>
      <c r="O61" s="127"/>
      <c r="P61" s="128" t="str">
        <f t="shared" si="0"/>
        <v/>
      </c>
      <c r="Q61" s="196"/>
    </row>
    <row r="62" spans="1:19" ht="19.5" customHeight="1" x14ac:dyDescent="0.2">
      <c r="A62" s="196"/>
      <c r="B62" s="206"/>
      <c r="C62" s="175"/>
      <c r="D62" s="174"/>
      <c r="E62" s="684"/>
      <c r="F62" s="685"/>
      <c r="G62" s="685"/>
      <c r="H62" s="685"/>
      <c r="I62" s="686"/>
      <c r="J62" s="305"/>
      <c r="K62" s="300"/>
      <c r="L62" s="301"/>
      <c r="M62" s="682" t="str">
        <f>IF(E62="","",VLOOKUP(E62,Hilfstabelle!C40:D58,2,FALSE))</f>
        <v/>
      </c>
      <c r="N62" s="683"/>
      <c r="O62" s="127"/>
      <c r="P62" s="128" t="str">
        <f t="shared" si="0"/>
        <v/>
      </c>
      <c r="Q62" s="196"/>
    </row>
    <row r="63" spans="1:19" ht="19.5" customHeight="1" x14ac:dyDescent="0.2">
      <c r="A63" s="196"/>
      <c r="B63" s="206"/>
      <c r="C63" s="175"/>
      <c r="D63" s="174"/>
      <c r="E63" s="684"/>
      <c r="F63" s="685"/>
      <c r="G63" s="685"/>
      <c r="H63" s="685"/>
      <c r="I63" s="686"/>
      <c r="J63" s="299"/>
      <c r="K63" s="300"/>
      <c r="L63" s="301"/>
      <c r="M63" s="682" t="str">
        <f>IF(E63="","",VLOOKUP(E63,Hilfstabelle!C41:D59,2,FALSE))</f>
        <v/>
      </c>
      <c r="N63" s="683"/>
      <c r="P63" s="128" t="str">
        <f t="shared" si="0"/>
        <v/>
      </c>
      <c r="Q63" s="196"/>
    </row>
    <row r="64" spans="1:19" ht="19.5" customHeight="1" x14ac:dyDescent="0.2">
      <c r="A64" s="196"/>
      <c r="B64" s="206"/>
      <c r="C64" s="175"/>
      <c r="D64" s="174"/>
      <c r="E64" s="684"/>
      <c r="F64" s="685"/>
      <c r="G64" s="685"/>
      <c r="H64" s="685"/>
      <c r="I64" s="686"/>
      <c r="J64" s="299"/>
      <c r="K64" s="300"/>
      <c r="L64" s="215"/>
      <c r="M64" s="682" t="str">
        <f>IF(E64="","",VLOOKUP(E64,Hilfstabelle!C42:D60,2,FALSE))</f>
        <v/>
      </c>
      <c r="N64" s="683"/>
      <c r="O64" s="304"/>
      <c r="P64" s="128" t="str">
        <f t="shared" si="0"/>
        <v/>
      </c>
      <c r="Q64" s="196"/>
    </row>
    <row r="65" spans="1:17" ht="19.5" customHeight="1" x14ac:dyDescent="0.2">
      <c r="A65" s="196"/>
      <c r="B65" s="206"/>
      <c r="C65" s="175"/>
      <c r="D65" s="306"/>
      <c r="E65" s="684"/>
      <c r="F65" s="685"/>
      <c r="G65" s="685"/>
      <c r="H65" s="685"/>
      <c r="I65" s="686"/>
      <c r="J65" s="299"/>
      <c r="K65" s="300"/>
      <c r="L65" s="215"/>
      <c r="M65" s="682" t="str">
        <f>IF(E65="","",VLOOKUP(E65,Hilfstabelle!C43:D61,2,FALSE))</f>
        <v/>
      </c>
      <c r="N65" s="683"/>
      <c r="O65" s="304"/>
      <c r="P65" s="128" t="str">
        <f t="shared" si="0"/>
        <v/>
      </c>
      <c r="Q65" s="196"/>
    </row>
    <row r="66" spans="1:17" s="294" customFormat="1" ht="19.5" customHeight="1" x14ac:dyDescent="0.2">
      <c r="A66" s="291"/>
      <c r="B66" s="292"/>
      <c r="C66" s="178"/>
      <c r="D66" s="178"/>
      <c r="E66" s="684"/>
      <c r="F66" s="685"/>
      <c r="G66" s="685"/>
      <c r="H66" s="685"/>
      <c r="I66" s="686"/>
      <c r="J66" s="304"/>
      <c r="K66" s="300"/>
      <c r="L66" s="304"/>
      <c r="M66" s="682" t="str">
        <f>IF(E66="","",VLOOKUP(E66,Hilfstabelle!C44:D62,2,FALSE))</f>
        <v/>
      </c>
      <c r="N66" s="683"/>
      <c r="O66" s="297"/>
      <c r="P66" s="128" t="str">
        <f t="shared" si="0"/>
        <v/>
      </c>
      <c r="Q66" s="291"/>
    </row>
    <row r="67" spans="1:17" ht="19.5" customHeight="1" x14ac:dyDescent="0.2">
      <c r="A67" s="196"/>
      <c r="B67" s="206"/>
      <c r="C67" s="175"/>
      <c r="D67" s="174"/>
      <c r="E67" s="684"/>
      <c r="F67" s="685"/>
      <c r="G67" s="685"/>
      <c r="H67" s="685"/>
      <c r="I67" s="686"/>
      <c r="J67" s="305"/>
      <c r="K67" s="300"/>
      <c r="L67" s="301"/>
      <c r="M67" s="682" t="str">
        <f>IF(E67="","",VLOOKUP(E67,Hilfstabelle!C44:D63,2,FALSE))</f>
        <v/>
      </c>
      <c r="N67" s="683"/>
      <c r="O67" s="127"/>
      <c r="P67" s="128" t="str">
        <f t="shared" si="0"/>
        <v/>
      </c>
      <c r="Q67" s="196"/>
    </row>
    <row r="68" spans="1:17" ht="19.5" customHeight="1" x14ac:dyDescent="0.2">
      <c r="A68" s="196"/>
      <c r="B68" s="206"/>
      <c r="C68" s="175"/>
      <c r="D68" s="174"/>
      <c r="E68" s="678"/>
      <c r="F68" s="679"/>
      <c r="G68" s="679"/>
      <c r="H68" s="679"/>
      <c r="I68" s="680"/>
      <c r="J68" s="305"/>
      <c r="K68" s="307"/>
      <c r="L68" s="301"/>
      <c r="M68" s="682" t="str">
        <f>IF(E68="","",VLOOKUP(E68,Hilfstabelle!C45:D64,2,FALSE))</f>
        <v/>
      </c>
      <c r="N68" s="683"/>
      <c r="O68" s="127"/>
      <c r="P68" s="128" t="str">
        <f t="shared" si="0"/>
        <v/>
      </c>
      <c r="Q68" s="196"/>
    </row>
    <row r="69" spans="1:17" ht="19.5" customHeight="1" x14ac:dyDescent="0.2">
      <c r="A69" s="196"/>
      <c r="B69" s="206"/>
      <c r="C69" s="175"/>
      <c r="D69" s="174"/>
      <c r="E69" s="678"/>
      <c r="F69" s="679"/>
      <c r="G69" s="679"/>
      <c r="H69" s="679"/>
      <c r="I69" s="680"/>
      <c r="J69" s="305"/>
      <c r="K69" s="307"/>
      <c r="L69" s="301"/>
      <c r="M69" s="682" t="str">
        <f>IF(E69="","",VLOOKUP(E69,Hilfstabelle!C45:D65,2,FALSE))</f>
        <v/>
      </c>
      <c r="N69" s="683"/>
      <c r="O69" s="127"/>
      <c r="P69" s="128" t="str">
        <f t="shared" si="0"/>
        <v/>
      </c>
      <c r="Q69" s="196"/>
    </row>
    <row r="70" spans="1:17" ht="19.5" customHeight="1" x14ac:dyDescent="0.2">
      <c r="A70" s="196"/>
      <c r="B70" s="206"/>
      <c r="C70" s="175"/>
      <c r="D70" s="174"/>
      <c r="E70" s="678"/>
      <c r="F70" s="679"/>
      <c r="G70" s="679"/>
      <c r="H70" s="679"/>
      <c r="I70" s="680"/>
      <c r="J70" s="305"/>
      <c r="K70" s="307"/>
      <c r="L70" s="301"/>
      <c r="M70" s="682" t="str">
        <f>IF(E70="","",VLOOKUP(E70,Hilfstabelle!C46:D66,2,FALSE))</f>
        <v/>
      </c>
      <c r="N70" s="683"/>
      <c r="O70" s="127"/>
      <c r="P70" s="128" t="str">
        <f t="shared" si="0"/>
        <v/>
      </c>
      <c r="Q70" s="196"/>
    </row>
    <row r="71" spans="1:17" ht="19.5" customHeight="1" x14ac:dyDescent="0.2">
      <c r="A71" s="196"/>
      <c r="B71" s="206"/>
      <c r="C71" s="175"/>
      <c r="D71" s="174"/>
      <c r="E71" s="678"/>
      <c r="F71" s="679"/>
      <c r="G71" s="679"/>
      <c r="H71" s="679"/>
      <c r="I71" s="680"/>
      <c r="J71" s="305"/>
      <c r="K71" s="307"/>
      <c r="L71" s="301"/>
      <c r="M71" s="682" t="str">
        <f>IF(E71="","",VLOOKUP(E71,Hilfstabelle!C46:D67,2,FALSE))</f>
        <v/>
      </c>
      <c r="N71" s="683"/>
      <c r="O71" s="304"/>
      <c r="P71" s="128" t="str">
        <f t="shared" si="0"/>
        <v/>
      </c>
      <c r="Q71" s="196"/>
    </row>
    <row r="72" spans="1:17" x14ac:dyDescent="0.2">
      <c r="A72" s="196"/>
      <c r="B72" s="206"/>
      <c r="C72" s="175"/>
      <c r="D72" s="174"/>
      <c r="E72" s="174"/>
      <c r="F72" s="174"/>
      <c r="G72" s="174"/>
      <c r="H72" s="174"/>
      <c r="I72" s="215"/>
      <c r="J72" s="215"/>
      <c r="K72" s="215"/>
      <c r="L72" s="215"/>
      <c r="M72" s="299"/>
      <c r="N72" s="208"/>
      <c r="O72" s="215"/>
      <c r="P72" s="308"/>
      <c r="Q72" s="196"/>
    </row>
    <row r="73" spans="1:17" x14ac:dyDescent="0.2">
      <c r="A73" s="196"/>
      <c r="B73" s="206"/>
      <c r="C73" s="175"/>
      <c r="D73" s="174"/>
      <c r="E73" s="174"/>
      <c r="F73" s="174"/>
      <c r="G73" s="174"/>
      <c r="H73" s="174"/>
      <c r="I73" s="215"/>
      <c r="J73" s="215"/>
      <c r="K73" s="215"/>
      <c r="L73" s="215"/>
      <c r="M73" s="215"/>
      <c r="N73" s="202"/>
      <c r="O73" s="215"/>
      <c r="P73" s="217"/>
      <c r="Q73" s="196"/>
    </row>
    <row r="74" spans="1:17" x14ac:dyDescent="0.2">
      <c r="A74" s="196"/>
      <c r="B74" s="206"/>
      <c r="C74" s="276" t="s">
        <v>102</v>
      </c>
      <c r="D74" s="278"/>
      <c r="E74" s="278"/>
      <c r="F74" s="278"/>
      <c r="G74" s="278"/>
      <c r="H74" s="278"/>
      <c r="I74" s="309"/>
      <c r="J74" s="309"/>
      <c r="K74" s="310"/>
      <c r="L74" s="310"/>
      <c r="M74" s="278"/>
      <c r="N74" s="309"/>
      <c r="O74" s="309"/>
      <c r="P74" s="135">
        <f>SUM(P57:P73)</f>
        <v>0</v>
      </c>
      <c r="Q74" s="196"/>
    </row>
    <row r="75" spans="1:17" ht="6" customHeight="1" x14ac:dyDescent="0.2">
      <c r="A75" s="196"/>
      <c r="B75" s="263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30"/>
      <c r="Q75" s="196"/>
    </row>
    <row r="76" spans="1:17" x14ac:dyDescent="0.2">
      <c r="A76" s="196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96"/>
    </row>
    <row r="77" spans="1:17" ht="6" hidden="1" customHeight="1" x14ac:dyDescent="0.2">
      <c r="A77" s="196"/>
      <c r="B77" s="197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9"/>
      <c r="Q77" s="196"/>
    </row>
    <row r="78" spans="1:17" hidden="1" x14ac:dyDescent="0.2">
      <c r="A78" s="196"/>
      <c r="B78" s="206"/>
      <c r="C78" s="272" t="s">
        <v>62</v>
      </c>
      <c r="D78" s="201" t="s">
        <v>63</v>
      </c>
      <c r="E78" s="174"/>
      <c r="F78" s="174"/>
      <c r="G78" s="174"/>
      <c r="H78" s="174"/>
      <c r="I78" s="175"/>
      <c r="J78" s="175"/>
      <c r="K78" s="175"/>
      <c r="L78" s="175"/>
      <c r="M78" s="175"/>
      <c r="N78" s="175"/>
      <c r="O78" s="175"/>
      <c r="P78" s="207"/>
      <c r="Q78" s="196"/>
    </row>
    <row r="79" spans="1:17" ht="6" hidden="1" customHeight="1" x14ac:dyDescent="0.2">
      <c r="A79" s="196"/>
      <c r="B79" s="206"/>
      <c r="C79" s="175"/>
      <c r="D79" s="175"/>
      <c r="E79" s="175"/>
      <c r="F79" s="175"/>
      <c r="G79" s="175"/>
      <c r="H79" s="175"/>
      <c r="I79" s="311"/>
      <c r="J79" s="175"/>
      <c r="K79" s="175"/>
      <c r="L79" s="175"/>
      <c r="M79" s="175"/>
      <c r="N79" s="175"/>
      <c r="O79" s="175"/>
      <c r="P79" s="207"/>
      <c r="Q79" s="196"/>
    </row>
    <row r="80" spans="1:17" ht="25.5" hidden="1" x14ac:dyDescent="0.2">
      <c r="A80" s="196"/>
      <c r="B80" s="206"/>
      <c r="C80" s="175"/>
      <c r="D80" s="312"/>
      <c r="E80" s="293" t="s">
        <v>64</v>
      </c>
      <c r="F80" s="293"/>
      <c r="G80" s="293"/>
      <c r="H80" s="293"/>
      <c r="I80" s="175"/>
      <c r="J80" s="178" t="s">
        <v>65</v>
      </c>
      <c r="K80" s="311" t="s">
        <v>66</v>
      </c>
      <c r="L80" s="311"/>
      <c r="M80" s="313" t="s">
        <v>67</v>
      </c>
      <c r="N80" s="313" t="s">
        <v>68</v>
      </c>
      <c r="O80" s="175"/>
      <c r="P80" s="207"/>
      <c r="Q80" s="196"/>
    </row>
    <row r="81" spans="1:17" ht="6" hidden="1" customHeight="1" x14ac:dyDescent="0.2">
      <c r="A81" s="196"/>
      <c r="B81" s="206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314"/>
      <c r="N81" s="314"/>
      <c r="O81" s="175"/>
      <c r="P81" s="207"/>
      <c r="Q81" s="196"/>
    </row>
    <row r="82" spans="1:17" hidden="1" x14ac:dyDescent="0.2">
      <c r="A82" s="196"/>
      <c r="B82" s="206"/>
      <c r="C82" s="175"/>
      <c r="D82" s="175"/>
      <c r="E82" s="675" t="s">
        <v>69</v>
      </c>
      <c r="F82" s="676"/>
      <c r="G82" s="676"/>
      <c r="H82" s="676"/>
      <c r="I82" s="677"/>
      <c r="J82" s="315"/>
      <c r="K82" s="316"/>
      <c r="L82" s="301"/>
      <c r="M82" s="317" t="str">
        <f>IF(J857="","",VLOOKUP(J82,#REF!,2,FALSE))</f>
        <v/>
      </c>
      <c r="N82" s="318" t="str">
        <f>IF(M82="","",K82*M82)</f>
        <v/>
      </c>
      <c r="O82" s="175"/>
      <c r="P82" s="207"/>
      <c r="Q82" s="196"/>
    </row>
    <row r="83" spans="1:17" hidden="1" x14ac:dyDescent="0.2">
      <c r="A83" s="196"/>
      <c r="B83" s="206"/>
      <c r="C83" s="175"/>
      <c r="D83" s="175"/>
      <c r="E83" s="675" t="s">
        <v>70</v>
      </c>
      <c r="F83" s="676"/>
      <c r="G83" s="676"/>
      <c r="H83" s="676"/>
      <c r="I83" s="677"/>
      <c r="J83" s="315"/>
      <c r="K83" s="316"/>
      <c r="L83" s="301"/>
      <c r="M83" s="317" t="str">
        <f>IF(J858="","",VLOOKUP(J83,#REF!,2,FALSE))</f>
        <v/>
      </c>
      <c r="N83" s="318" t="str">
        <f>IF(M83="","",K83*M83)</f>
        <v/>
      </c>
      <c r="O83" s="175"/>
      <c r="P83" s="207"/>
      <c r="Q83" s="196"/>
    </row>
    <row r="84" spans="1:17" hidden="1" x14ac:dyDescent="0.2">
      <c r="A84" s="196"/>
      <c r="B84" s="206"/>
      <c r="C84" s="175"/>
      <c r="D84" s="175"/>
      <c r="E84" s="675" t="s">
        <v>71</v>
      </c>
      <c r="F84" s="676"/>
      <c r="G84" s="676"/>
      <c r="H84" s="676"/>
      <c r="I84" s="677"/>
      <c r="J84" s="315"/>
      <c r="K84" s="316"/>
      <c r="L84" s="301"/>
      <c r="M84" s="317" t="str">
        <f>IF(J859="","",VLOOKUP(J84,#REF!,2,FALSE))</f>
        <v/>
      </c>
      <c r="N84" s="318" t="str">
        <f>IF(M84="","",K84*M84)</f>
        <v/>
      </c>
      <c r="O84" s="175"/>
      <c r="P84" s="207"/>
      <c r="Q84" s="196"/>
    </row>
    <row r="85" spans="1:17" ht="6" hidden="1" customHeight="1" x14ac:dyDescent="0.2">
      <c r="A85" s="196"/>
      <c r="B85" s="206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207"/>
      <c r="Q85" s="196"/>
    </row>
    <row r="86" spans="1:17" hidden="1" x14ac:dyDescent="0.2">
      <c r="A86" s="196"/>
      <c r="B86" s="206"/>
      <c r="C86" s="319" t="s">
        <v>72</v>
      </c>
      <c r="D86" s="320"/>
      <c r="E86" s="321"/>
      <c r="F86" s="321"/>
      <c r="G86" s="321"/>
      <c r="H86" s="321"/>
      <c r="I86" s="322"/>
      <c r="J86" s="322"/>
      <c r="K86" s="323"/>
      <c r="L86" s="323"/>
      <c r="M86" s="321"/>
      <c r="N86" s="324" t="str">
        <f>IF(AND(N82="",N83="",N84=""),"",N82+N83+N84)</f>
        <v/>
      </c>
      <c r="O86" s="215"/>
      <c r="P86" s="158"/>
      <c r="Q86" s="196"/>
    </row>
    <row r="87" spans="1:17" ht="6" hidden="1" customHeight="1" x14ac:dyDescent="0.2">
      <c r="A87" s="196"/>
      <c r="B87" s="263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30"/>
      <c r="Q87" s="196"/>
    </row>
    <row r="88" spans="1:17" hidden="1" x14ac:dyDescent="0.2">
      <c r="A88" s="196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96"/>
    </row>
    <row r="89" spans="1:17" ht="1.5" customHeight="1" x14ac:dyDescent="0.2">
      <c r="A89" s="196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96"/>
    </row>
    <row r="90" spans="1:17" ht="14.25" customHeight="1" x14ac:dyDescent="0.2">
      <c r="A90" s="196"/>
      <c r="B90" s="272"/>
      <c r="C90" s="201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96"/>
    </row>
    <row r="91" spans="1:17" ht="25.5" customHeight="1" x14ac:dyDescent="0.35">
      <c r="A91" s="196"/>
      <c r="B91" s="272"/>
      <c r="C91" s="201"/>
      <c r="D91" s="175"/>
      <c r="E91" s="175"/>
      <c r="F91" s="175"/>
      <c r="G91" s="325"/>
      <c r="H91" s="326"/>
      <c r="I91" s="326"/>
      <c r="J91" s="326"/>
      <c r="K91" s="175"/>
      <c r="L91" s="175"/>
      <c r="M91" s="175"/>
      <c r="N91" s="175"/>
      <c r="O91" s="175"/>
      <c r="P91" s="175"/>
      <c r="Q91" s="196"/>
    </row>
    <row r="92" spans="1:17" ht="7.5" customHeight="1" x14ac:dyDescent="0.2">
      <c r="A92" s="196"/>
      <c r="C92" s="201"/>
      <c r="D92" s="175"/>
      <c r="E92" s="175"/>
      <c r="F92" s="175"/>
      <c r="H92" s="175"/>
      <c r="I92" s="175"/>
      <c r="J92" s="175"/>
      <c r="K92" s="175"/>
      <c r="L92" s="175"/>
      <c r="M92" s="175"/>
      <c r="N92" s="175"/>
      <c r="O92" s="175"/>
      <c r="P92" s="175"/>
      <c r="Q92" s="196"/>
    </row>
    <row r="93" spans="1:17" ht="14.25" customHeight="1" x14ac:dyDescent="0.2">
      <c r="A93" s="196"/>
      <c r="B93" s="285" t="s">
        <v>103</v>
      </c>
      <c r="C93" s="174"/>
      <c r="D93" s="174"/>
      <c r="E93" s="327"/>
      <c r="F93" s="327"/>
      <c r="G93" s="285" t="s">
        <v>91</v>
      </c>
      <c r="H93" s="327"/>
      <c r="I93" s="174"/>
      <c r="J93" s="174"/>
      <c r="K93" s="285" t="s">
        <v>92</v>
      </c>
      <c r="L93" s="174"/>
      <c r="N93" s="175"/>
      <c r="O93" s="328" t="s">
        <v>93</v>
      </c>
      <c r="P93" s="175"/>
      <c r="Q93" s="196"/>
    </row>
    <row r="94" spans="1:17" ht="6.75" customHeight="1" x14ac:dyDescent="0.2">
      <c r="A94" s="196"/>
      <c r="B94" s="285"/>
      <c r="C94" s="174"/>
      <c r="D94" s="174"/>
      <c r="E94" s="327"/>
      <c r="F94" s="327"/>
      <c r="G94" s="327"/>
      <c r="H94" s="327"/>
      <c r="I94" s="174"/>
      <c r="J94" s="174"/>
      <c r="K94" s="174"/>
      <c r="L94" s="174"/>
      <c r="M94" s="174"/>
      <c r="N94" s="175"/>
      <c r="O94" s="327"/>
      <c r="P94" s="175"/>
      <c r="Q94" s="196"/>
    </row>
    <row r="95" spans="1:17" ht="13.5" customHeight="1" x14ac:dyDescent="0.2">
      <c r="A95" s="196"/>
      <c r="B95" s="174" t="s">
        <v>94</v>
      </c>
      <c r="C95" s="201"/>
      <c r="D95" s="175"/>
      <c r="F95" s="174"/>
      <c r="G95" s="678"/>
      <c r="H95" s="679"/>
      <c r="I95" s="680"/>
      <c r="J95" s="174"/>
      <c r="K95" s="174" t="s">
        <v>94</v>
      </c>
      <c r="L95" s="175"/>
      <c r="M95" s="285"/>
      <c r="O95" s="681"/>
      <c r="P95" s="681"/>
      <c r="Q95" s="196"/>
    </row>
    <row r="96" spans="1:17" x14ac:dyDescent="0.2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</row>
    <row r="98" spans="5:12" x14ac:dyDescent="0.2">
      <c r="E98" s="329"/>
      <c r="F98" s="329"/>
      <c r="G98" s="329"/>
      <c r="H98" s="329"/>
      <c r="I98" s="328"/>
    </row>
    <row r="99" spans="5:12" x14ac:dyDescent="0.2">
      <c r="E99" s="330"/>
      <c r="F99" s="330"/>
      <c r="G99" s="330"/>
      <c r="H99" s="330"/>
      <c r="I99" s="331"/>
      <c r="J99" s="328"/>
    </row>
    <row r="100" spans="5:12" x14ac:dyDescent="0.2">
      <c r="E100" s="330"/>
      <c r="F100" s="330"/>
      <c r="G100" s="330"/>
      <c r="H100" s="330"/>
      <c r="I100" s="331"/>
      <c r="J100" s="328"/>
    </row>
    <row r="101" spans="5:12" x14ac:dyDescent="0.2">
      <c r="K101" s="332"/>
      <c r="L101" s="332"/>
    </row>
  </sheetData>
  <sheetProtection algorithmName="SHA-512" hashValue="doFcFkbdVmeIayS+/SyH82SYKTYRSc1cknHeMtTs5Et+1guzgXKZJFp5CUGlGZBw3brSzoZpkZwFlk0PSpcwFw==" saltValue="2At8nIQ8/nGFNWNL1QnuPA==" spinCount="100000" sheet="1" selectLockedCells="1"/>
  <mergeCells count="47">
    <mergeCell ref="M56:N56"/>
    <mergeCell ref="B1:P1"/>
    <mergeCell ref="G5:L5"/>
    <mergeCell ref="G7:I7"/>
    <mergeCell ref="G12:I12"/>
    <mergeCell ref="G21:H21"/>
    <mergeCell ref="G23:H23"/>
    <mergeCell ref="G25:H25"/>
    <mergeCell ref="G27:H27"/>
    <mergeCell ref="G29:H29"/>
    <mergeCell ref="G40:H40"/>
    <mergeCell ref="G43:H43"/>
    <mergeCell ref="E57:I57"/>
    <mergeCell ref="M57:N57"/>
    <mergeCell ref="E58:I58"/>
    <mergeCell ref="M58:N58"/>
    <mergeCell ref="E59:I59"/>
    <mergeCell ref="M59:N59"/>
    <mergeCell ref="E60:I60"/>
    <mergeCell ref="M60:N60"/>
    <mergeCell ref="E61:I61"/>
    <mergeCell ref="M61:N61"/>
    <mergeCell ref="E62:I62"/>
    <mergeCell ref="M62:N62"/>
    <mergeCell ref="E63:I63"/>
    <mergeCell ref="M63:N63"/>
    <mergeCell ref="E64:I64"/>
    <mergeCell ref="M64:N64"/>
    <mergeCell ref="E65:I65"/>
    <mergeCell ref="M65:N65"/>
    <mergeCell ref="E66:I66"/>
    <mergeCell ref="M66:N66"/>
    <mergeCell ref="E67:I67"/>
    <mergeCell ref="M67:N67"/>
    <mergeCell ref="E68:I68"/>
    <mergeCell ref="M68:N68"/>
    <mergeCell ref="E69:I69"/>
    <mergeCell ref="M69:N69"/>
    <mergeCell ref="E70:I70"/>
    <mergeCell ref="M70:N70"/>
    <mergeCell ref="E71:I71"/>
    <mergeCell ref="M71:N71"/>
    <mergeCell ref="E82:I82"/>
    <mergeCell ref="E83:I83"/>
    <mergeCell ref="E84:I84"/>
    <mergeCell ref="G95:I95"/>
    <mergeCell ref="O95:P95"/>
  </mergeCells>
  <dataValidations count="6">
    <dataValidation type="list" allowBlank="1" showInputMessage="1" showErrorMessage="1" sqref="K30:L30 L40 I28:J28">
      <formula1>#REF!</formula1>
    </dataValidation>
    <dataValidation type="list" allowBlank="1" showInputMessage="1" showErrorMessage="1" sqref="G12">
      <formula1>Cluster</formula1>
    </dataValidation>
    <dataValidation type="list" allowBlank="1" showInputMessage="1" showErrorMessage="1" sqref="M10 H10">
      <formula1>Tag</formula1>
    </dataValidation>
    <dataValidation type="list" allowBlank="1" showInputMessage="1" showErrorMessage="1" sqref="N10 I10">
      <formula1>Monat</formula1>
    </dataValidation>
    <dataValidation type="list" allowBlank="1" showInputMessage="1" showErrorMessage="1" sqref="O10 J10">
      <formula1>Jahr</formula1>
    </dataValidation>
    <dataValidation type="list" allowBlank="1" showInputMessage="1" showErrorMessage="1" sqref="I21 I29 I27 I25 I23">
      <formula1>$S$5:$S$6</formula1>
    </dataValidation>
  </dataValidations>
  <pageMargins left="0.57999999999999996" right="0.59" top="0.59055118110236227" bottom="0.47244094488188981" header="0.39370078740157483" footer="0.27559055118110237"/>
  <pageSetup paperSize="9" scale="60" orientation="portrait" cellComments="asDisplayed" r:id="rId1"/>
  <headerFooter differentOddEven="1" alignWithMargins="0">
    <oddFooter xml:space="preserve">&amp;L&amp;D&amp;RVersion 1.0-2013
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Hilfstabelle!$C$35:$C$52</xm:f>
          </x14:formula1>
          <xm:sqref>E57:I71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 tint="0.39997558519241921"/>
  </sheetPr>
  <dimension ref="A1:P66"/>
  <sheetViews>
    <sheetView view="pageBreakPreview" topLeftCell="A4" zoomScaleNormal="100" zoomScaleSheetLayoutView="100" workbookViewId="0">
      <selection activeCell="K8" sqref="K8"/>
    </sheetView>
  </sheetViews>
  <sheetFormatPr baseColWidth="10" defaultRowHeight="12.75" x14ac:dyDescent="0.2"/>
  <cols>
    <col min="1" max="1" width="1.85546875" customWidth="1"/>
    <col min="2" max="2" width="6.28515625" customWidth="1"/>
    <col min="3" max="3" width="12.140625" customWidth="1"/>
    <col min="4" max="4" width="5.140625" customWidth="1"/>
    <col min="5" max="5" width="10.85546875" customWidth="1"/>
    <col min="6" max="6" width="15.5703125" customWidth="1"/>
    <col min="7" max="7" width="16.7109375" customWidth="1"/>
    <col min="8" max="8" width="3" customWidth="1"/>
    <col min="9" max="9" width="8.7109375" bestFit="1" customWidth="1"/>
    <col min="11" max="11" width="20" customWidth="1"/>
  </cols>
  <sheetData>
    <row r="1" spans="1:16" s="2" customFormat="1" ht="55.5" customHeight="1" x14ac:dyDescent="0.25">
      <c r="B1" s="701" t="s">
        <v>104</v>
      </c>
      <c r="C1" s="702"/>
      <c r="D1" s="702"/>
      <c r="E1" s="702"/>
      <c r="F1" s="702"/>
      <c r="G1" s="702"/>
      <c r="H1" s="702"/>
      <c r="I1" s="702"/>
      <c r="J1" s="702"/>
      <c r="K1" s="703"/>
      <c r="L1" s="333"/>
      <c r="M1" s="333"/>
      <c r="P1" s="334"/>
    </row>
    <row r="5" spans="1:16" ht="12.75" customHeight="1" x14ac:dyDescent="0.2">
      <c r="B5" s="335"/>
      <c r="C5" s="336"/>
      <c r="D5" s="336"/>
      <c r="E5" s="336"/>
      <c r="F5" s="336"/>
      <c r="G5" s="336"/>
      <c r="H5" s="336"/>
      <c r="I5" s="336"/>
      <c r="J5" s="336"/>
      <c r="K5" s="337"/>
    </row>
    <row r="6" spans="1:16" s="2" customFormat="1" ht="12.75" customHeight="1" x14ac:dyDescent="0.2">
      <c r="A6" s="3"/>
      <c r="B6" s="338" t="s">
        <v>1</v>
      </c>
      <c r="C6" s="9" t="s">
        <v>105</v>
      </c>
      <c r="D6" s="10"/>
      <c r="E6" s="10"/>
      <c r="F6" s="665">
        <f>'Vorkalkulation_% GKZ'!G5</f>
        <v>0</v>
      </c>
      <c r="G6" s="666"/>
      <c r="H6" s="666"/>
      <c r="I6" s="666"/>
      <c r="J6" s="667"/>
      <c r="K6" s="339"/>
    </row>
    <row r="7" spans="1:16" s="2" customFormat="1" ht="12.75" customHeight="1" x14ac:dyDescent="0.2">
      <c r="A7" s="3"/>
      <c r="B7" s="340"/>
      <c r="C7" s="10"/>
      <c r="D7" s="10"/>
      <c r="E7" s="10"/>
      <c r="F7" s="10"/>
      <c r="G7" s="10"/>
      <c r="H7" s="10"/>
      <c r="I7" s="10"/>
      <c r="J7" s="10"/>
      <c r="K7" s="339"/>
    </row>
    <row r="8" spans="1:16" s="2" customFormat="1" ht="12.75" customHeight="1" x14ac:dyDescent="0.2">
      <c r="A8" s="3"/>
      <c r="B8" s="338" t="s">
        <v>4</v>
      </c>
      <c r="C8" s="9" t="s">
        <v>106</v>
      </c>
      <c r="D8" s="10"/>
      <c r="E8" s="10"/>
      <c r="F8" s="665">
        <f>'Vorkalkulation_% GKZ'!G7</f>
        <v>0</v>
      </c>
      <c r="G8" s="666"/>
      <c r="H8" s="667"/>
      <c r="I8" s="17"/>
      <c r="J8" s="9" t="s">
        <v>107</v>
      </c>
      <c r="K8" s="341"/>
    </row>
    <row r="9" spans="1:16" s="2" customFormat="1" ht="12.75" customHeight="1" x14ac:dyDescent="0.2">
      <c r="A9" s="3"/>
      <c r="B9" s="342"/>
      <c r="C9" s="343"/>
      <c r="D9" s="344"/>
      <c r="E9" s="344"/>
      <c r="F9" s="345"/>
      <c r="G9" s="346"/>
      <c r="H9" s="346"/>
      <c r="I9" s="346"/>
      <c r="J9" s="344"/>
      <c r="K9" s="347"/>
    </row>
    <row r="10" spans="1:16" s="11" customFormat="1" x14ac:dyDescent="0.2">
      <c r="A10" s="10"/>
      <c r="B10" s="85"/>
      <c r="C10" s="348"/>
      <c r="D10" s="9"/>
      <c r="E10" s="85"/>
      <c r="F10" s="86"/>
      <c r="G10" s="90"/>
      <c r="H10" s="90"/>
      <c r="I10" s="90"/>
      <c r="J10" s="17"/>
      <c r="K10" s="17"/>
    </row>
    <row r="11" spans="1:16" s="11" customFormat="1" x14ac:dyDescent="0.2">
      <c r="A11" s="10"/>
      <c r="B11" s="349"/>
      <c r="C11" s="350"/>
      <c r="D11" s="351"/>
      <c r="E11" s="352"/>
      <c r="F11" s="353"/>
      <c r="G11" s="354"/>
      <c r="H11" s="354"/>
      <c r="I11" s="354"/>
      <c r="J11" s="355"/>
      <c r="K11" s="356"/>
    </row>
    <row r="12" spans="1:16" s="11" customFormat="1" x14ac:dyDescent="0.2">
      <c r="A12" s="10"/>
      <c r="B12" s="357" t="s">
        <v>108</v>
      </c>
      <c r="C12" s="348" t="s">
        <v>109</v>
      </c>
      <c r="D12" s="9"/>
      <c r="E12" s="85"/>
      <c r="F12" s="86"/>
      <c r="G12" s="90"/>
      <c r="H12" s="90"/>
      <c r="I12" s="90"/>
      <c r="J12" s="17"/>
      <c r="K12" s="339"/>
    </row>
    <row r="13" spans="1:16" s="11" customFormat="1" x14ac:dyDescent="0.2">
      <c r="A13" s="10"/>
      <c r="B13" s="358"/>
      <c r="C13" s="348"/>
      <c r="D13" s="9"/>
      <c r="E13" s="85"/>
      <c r="F13" s="86"/>
      <c r="G13" s="90"/>
      <c r="H13" s="90"/>
      <c r="I13" s="90"/>
      <c r="J13" s="17"/>
      <c r="K13" s="339"/>
    </row>
    <row r="14" spans="1:16" s="11" customFormat="1" ht="25.5" x14ac:dyDescent="0.2">
      <c r="A14" s="10"/>
      <c r="B14" s="358"/>
      <c r="C14" s="348"/>
      <c r="D14" s="9"/>
      <c r="E14" s="85"/>
      <c r="F14" s="86"/>
      <c r="G14" s="90" t="s">
        <v>110</v>
      </c>
      <c r="H14" s="90"/>
      <c r="I14" s="90"/>
      <c r="J14" s="17"/>
      <c r="K14" s="339"/>
    </row>
    <row r="15" spans="1:16" s="11" customFormat="1" x14ac:dyDescent="0.2">
      <c r="A15" s="10"/>
      <c r="B15" s="358"/>
      <c r="C15" s="348"/>
      <c r="D15" s="9"/>
      <c r="E15" s="139" t="s">
        <v>111</v>
      </c>
      <c r="F15" s="86"/>
      <c r="G15" s="90"/>
      <c r="H15" s="90"/>
      <c r="I15" s="90"/>
      <c r="J15" s="17"/>
      <c r="K15" s="339"/>
    </row>
    <row r="16" spans="1:16" s="11" customFormat="1" x14ac:dyDescent="0.2">
      <c r="A16" s="10"/>
      <c r="B16" s="340"/>
      <c r="C16" s="10"/>
      <c r="D16" s="85"/>
      <c r="E16" s="85" t="s">
        <v>112</v>
      </c>
      <c r="F16" s="86"/>
      <c r="G16" s="359"/>
      <c r="I16" s="70"/>
      <c r="J16" s="17"/>
      <c r="K16" s="339"/>
    </row>
    <row r="17" spans="1:11" s="11" customFormat="1" ht="6" customHeight="1" x14ac:dyDescent="0.2">
      <c r="A17" s="10"/>
      <c r="B17" s="340"/>
      <c r="C17" s="10"/>
      <c r="D17" s="85"/>
      <c r="E17" s="85"/>
      <c r="F17" s="86"/>
      <c r="G17" s="10"/>
      <c r="H17" s="10"/>
      <c r="I17" s="94"/>
      <c r="J17" s="17"/>
      <c r="K17" s="339"/>
    </row>
    <row r="18" spans="1:11" s="11" customFormat="1" x14ac:dyDescent="0.2">
      <c r="A18" s="10"/>
      <c r="B18" s="340"/>
      <c r="C18" s="10"/>
      <c r="D18" s="85"/>
      <c r="E18" s="139" t="s">
        <v>113</v>
      </c>
      <c r="F18" s="86"/>
      <c r="G18" s="10"/>
      <c r="H18" s="10"/>
      <c r="I18" s="94"/>
      <c r="J18" s="17"/>
      <c r="K18" s="339"/>
    </row>
    <row r="19" spans="1:11" s="11" customFormat="1" x14ac:dyDescent="0.2">
      <c r="A19" s="10"/>
      <c r="B19" s="340"/>
      <c r="C19" s="10"/>
      <c r="D19" s="85"/>
      <c r="E19" s="85" t="s">
        <v>112</v>
      </c>
      <c r="F19" s="86"/>
      <c r="G19" s="359"/>
      <c r="I19" s="360"/>
      <c r="J19" s="17"/>
      <c r="K19" s="339"/>
    </row>
    <row r="20" spans="1:11" s="11" customFormat="1" x14ac:dyDescent="0.2">
      <c r="A20" s="10"/>
      <c r="B20" s="358"/>
      <c r="C20" s="348"/>
      <c r="D20" s="9"/>
      <c r="E20" s="85"/>
      <c r="F20" s="86"/>
      <c r="G20" s="90"/>
      <c r="H20" s="90"/>
      <c r="I20" s="93"/>
      <c r="J20" s="17"/>
      <c r="K20" s="339"/>
    </row>
    <row r="21" spans="1:11" s="11" customFormat="1" x14ac:dyDescent="0.2">
      <c r="A21" s="10"/>
      <c r="B21" s="358"/>
      <c r="C21" s="348"/>
      <c r="D21" s="9"/>
      <c r="E21" s="85"/>
      <c r="F21" s="86"/>
      <c r="G21" s="90"/>
      <c r="H21" s="90"/>
      <c r="I21" s="90"/>
      <c r="J21" s="17"/>
      <c r="K21" s="339"/>
    </row>
    <row r="22" spans="1:11" s="11" customFormat="1" x14ac:dyDescent="0.2">
      <c r="A22" s="10"/>
      <c r="B22" s="358"/>
      <c r="C22" s="348"/>
      <c r="D22" s="9"/>
      <c r="E22" s="85"/>
      <c r="F22" s="86"/>
      <c r="G22" s="90"/>
      <c r="H22" s="90"/>
      <c r="I22" s="90"/>
      <c r="J22" s="17"/>
      <c r="K22" s="339"/>
    </row>
    <row r="23" spans="1:11" s="11" customFormat="1" x14ac:dyDescent="0.2">
      <c r="A23" s="10"/>
      <c r="B23" s="357" t="s">
        <v>114</v>
      </c>
      <c r="C23" s="348" t="s">
        <v>115</v>
      </c>
      <c r="D23" s="9"/>
      <c r="E23" s="85"/>
      <c r="F23" s="86"/>
      <c r="G23" s="90"/>
      <c r="H23" s="90"/>
      <c r="I23" s="90"/>
      <c r="J23" s="17"/>
      <c r="K23" s="339"/>
    </row>
    <row r="24" spans="1:11" s="11" customFormat="1" ht="25.5" x14ac:dyDescent="0.2">
      <c r="A24" s="10"/>
      <c r="B24" s="358"/>
      <c r="C24" s="348"/>
      <c r="D24" s="9"/>
      <c r="E24" s="85"/>
      <c r="F24" s="86"/>
      <c r="G24" s="90" t="s">
        <v>110</v>
      </c>
      <c r="H24" s="90"/>
      <c r="I24" s="90"/>
      <c r="J24" s="17"/>
      <c r="K24" s="339"/>
    </row>
    <row r="25" spans="1:11" s="11" customFormat="1" x14ac:dyDescent="0.2">
      <c r="A25" s="10"/>
      <c r="B25" s="340"/>
      <c r="C25" s="10"/>
      <c r="D25" s="85"/>
      <c r="E25" s="139" t="s">
        <v>116</v>
      </c>
      <c r="F25" s="86"/>
      <c r="G25" s="10"/>
      <c r="H25" s="10"/>
      <c r="I25" s="10"/>
      <c r="J25" s="17"/>
      <c r="K25" s="339"/>
    </row>
    <row r="26" spans="1:11" s="11" customFormat="1" x14ac:dyDescent="0.2">
      <c r="A26" s="10"/>
      <c r="B26" s="340"/>
      <c r="C26" s="10"/>
      <c r="D26" s="85"/>
      <c r="E26" s="85" t="s">
        <v>112</v>
      </c>
      <c r="F26" s="86"/>
      <c r="G26" s="359"/>
      <c r="I26" s="17"/>
      <c r="J26" s="17"/>
      <c r="K26" s="339"/>
    </row>
    <row r="27" spans="1:11" s="11" customFormat="1" x14ac:dyDescent="0.2">
      <c r="A27" s="10"/>
      <c r="B27" s="340"/>
      <c r="C27" s="10"/>
      <c r="D27" s="85"/>
      <c r="E27" s="85" t="s">
        <v>117</v>
      </c>
      <c r="F27" s="86"/>
      <c r="G27" s="361"/>
      <c r="H27" s="10"/>
      <c r="I27" s="17"/>
      <c r="J27" s="17"/>
      <c r="K27" s="339"/>
    </row>
    <row r="28" spans="1:11" s="11" customFormat="1" x14ac:dyDescent="0.2">
      <c r="A28" s="10"/>
      <c r="B28" s="340"/>
      <c r="C28" s="10"/>
      <c r="D28" s="85"/>
      <c r="E28" s="85" t="s">
        <v>118</v>
      </c>
      <c r="F28" s="86"/>
      <c r="G28" s="95">
        <f>IF(G26="",0,G26/G27)</f>
        <v>0</v>
      </c>
      <c r="H28" s="10"/>
      <c r="I28" s="17"/>
      <c r="J28" s="17"/>
      <c r="K28" s="339"/>
    </row>
    <row r="29" spans="1:11" s="11" customFormat="1" x14ac:dyDescent="0.2">
      <c r="A29" s="10"/>
      <c r="B29" s="340"/>
      <c r="C29" s="10"/>
      <c r="D29" s="85"/>
      <c r="E29" s="85" t="s">
        <v>119</v>
      </c>
      <c r="F29" s="86"/>
      <c r="G29" s="361"/>
      <c r="H29" s="10"/>
      <c r="I29" s="17"/>
      <c r="J29" s="17"/>
      <c r="K29" s="339"/>
    </row>
    <row r="30" spans="1:11" s="11" customFormat="1" x14ac:dyDescent="0.2">
      <c r="A30" s="10"/>
      <c r="B30" s="340"/>
      <c r="C30" s="10"/>
      <c r="D30" s="85"/>
      <c r="E30" s="85" t="s">
        <v>120</v>
      </c>
      <c r="F30" s="86"/>
      <c r="G30" s="95">
        <f>IF(G26="",0,G29*G28)</f>
        <v>0</v>
      </c>
      <c r="H30" s="10"/>
      <c r="I30" s="17" t="str">
        <f>IF($I$72="","",G30*(1+I26))</f>
        <v/>
      </c>
      <c r="J30" s="17"/>
      <c r="K30" s="339"/>
    </row>
    <row r="31" spans="1:11" s="11" customFormat="1" ht="6" customHeight="1" x14ac:dyDescent="0.2">
      <c r="A31" s="10"/>
      <c r="B31" s="340"/>
      <c r="C31" s="10"/>
      <c r="D31" s="85"/>
      <c r="E31" s="85"/>
      <c r="F31" s="86"/>
      <c r="G31" s="10"/>
      <c r="H31" s="10"/>
      <c r="I31" s="17"/>
      <c r="J31" s="17"/>
      <c r="K31" s="339"/>
    </row>
    <row r="32" spans="1:11" s="11" customFormat="1" x14ac:dyDescent="0.2">
      <c r="A32" s="10"/>
      <c r="B32" s="340"/>
      <c r="C32" s="10"/>
      <c r="D32" s="85"/>
      <c r="E32" s="139" t="s">
        <v>121</v>
      </c>
      <c r="F32" s="86"/>
      <c r="G32" s="10"/>
      <c r="H32" s="10"/>
      <c r="I32" s="17"/>
      <c r="J32" s="17"/>
      <c r="K32" s="339"/>
    </row>
    <row r="33" spans="1:11" s="11" customFormat="1" x14ac:dyDescent="0.2">
      <c r="A33" s="10"/>
      <c r="B33" s="340"/>
      <c r="C33" s="10"/>
      <c r="D33" s="85"/>
      <c r="E33" s="85" t="s">
        <v>112</v>
      </c>
      <c r="F33" s="86"/>
      <c r="G33" s="359"/>
      <c r="I33" s="17"/>
      <c r="J33" s="17"/>
      <c r="K33" s="339"/>
    </row>
    <row r="34" spans="1:11" s="11" customFormat="1" x14ac:dyDescent="0.2">
      <c r="A34" s="10"/>
      <c r="B34" s="340"/>
      <c r="C34" s="10"/>
      <c r="D34" s="85"/>
      <c r="E34" s="85" t="s">
        <v>117</v>
      </c>
      <c r="F34" s="86"/>
      <c r="G34" s="361"/>
      <c r="H34" s="10"/>
      <c r="I34" s="17"/>
      <c r="J34" s="17"/>
      <c r="K34" s="339"/>
    </row>
    <row r="35" spans="1:11" s="11" customFormat="1" x14ac:dyDescent="0.2">
      <c r="A35" s="10"/>
      <c r="B35" s="340"/>
      <c r="C35" s="10"/>
      <c r="D35" s="85"/>
      <c r="E35" s="85" t="s">
        <v>118</v>
      </c>
      <c r="F35" s="86"/>
      <c r="G35" s="95">
        <f>IF(G33="",0,G33/G34)</f>
        <v>0</v>
      </c>
      <c r="H35" s="10"/>
      <c r="I35" s="10"/>
      <c r="J35" s="17"/>
      <c r="K35" s="339"/>
    </row>
    <row r="36" spans="1:11" s="11" customFormat="1" x14ac:dyDescent="0.2">
      <c r="A36" s="10"/>
      <c r="B36" s="340"/>
      <c r="C36" s="10"/>
      <c r="D36" s="85"/>
      <c r="E36" s="85" t="s">
        <v>119</v>
      </c>
      <c r="F36" s="86"/>
      <c r="G36" s="361"/>
      <c r="H36" s="10"/>
      <c r="I36" s="10"/>
      <c r="J36" s="17"/>
      <c r="K36" s="339"/>
    </row>
    <row r="37" spans="1:11" s="11" customFormat="1" x14ac:dyDescent="0.2">
      <c r="A37" s="10"/>
      <c r="B37" s="340"/>
      <c r="C37" s="10"/>
      <c r="D37" s="85"/>
      <c r="E37" s="85" t="s">
        <v>120</v>
      </c>
      <c r="F37" s="86"/>
      <c r="G37" s="95">
        <f>IF(G33="",0,G36*G35)</f>
        <v>0</v>
      </c>
      <c r="H37" s="10"/>
      <c r="I37" s="95" t="str">
        <f>IF($I$72="","",G37*(1+I33))</f>
        <v/>
      </c>
      <c r="J37" s="17"/>
      <c r="K37" s="339"/>
    </row>
    <row r="38" spans="1:11" s="11" customFormat="1" x14ac:dyDescent="0.2">
      <c r="A38" s="10"/>
      <c r="B38" s="340"/>
      <c r="C38" s="10"/>
      <c r="D38" s="85"/>
      <c r="E38" s="85"/>
      <c r="F38" s="86"/>
      <c r="G38" s="10"/>
      <c r="H38" s="10"/>
      <c r="I38" s="95"/>
      <c r="J38" s="17"/>
      <c r="K38" s="339"/>
    </row>
    <row r="39" spans="1:11" s="11" customFormat="1" x14ac:dyDescent="0.2">
      <c r="A39" s="10"/>
      <c r="B39" s="340"/>
      <c r="C39" s="10"/>
      <c r="D39" s="85"/>
      <c r="E39" s="85"/>
      <c r="F39" s="86"/>
      <c r="G39" s="10"/>
      <c r="H39" s="10"/>
      <c r="I39" s="95"/>
      <c r="J39" s="17"/>
      <c r="K39" s="339"/>
    </row>
    <row r="40" spans="1:11" s="11" customFormat="1" x14ac:dyDescent="0.2">
      <c r="A40" s="10"/>
      <c r="B40" s="340"/>
      <c r="C40" s="97" t="s">
        <v>37</v>
      </c>
      <c r="D40" s="99"/>
      <c r="E40" s="99"/>
      <c r="F40" s="362"/>
      <c r="G40" s="100"/>
      <c r="H40" s="99"/>
      <c r="I40" s="704">
        <f>G37+G30+G19+G16</f>
        <v>0</v>
      </c>
      <c r="J40" s="704"/>
      <c r="K40" s="339"/>
    </row>
    <row r="41" spans="1:11" s="363" customFormat="1" x14ac:dyDescent="0.2">
      <c r="B41" s="364"/>
      <c r="C41" s="365"/>
      <c r="D41" s="365"/>
      <c r="E41" s="365"/>
      <c r="F41" s="365"/>
      <c r="G41" s="365"/>
      <c r="H41" s="365"/>
      <c r="I41" s="365"/>
      <c r="J41" s="365"/>
      <c r="K41" s="366"/>
    </row>
    <row r="42" spans="1:11" s="363" customFormat="1" x14ac:dyDescent="0.2">
      <c r="B42" s="367"/>
      <c r="C42" s="367"/>
      <c r="D42" s="367"/>
      <c r="E42" s="367"/>
      <c r="F42" s="367"/>
      <c r="G42" s="367"/>
      <c r="H42" s="367"/>
      <c r="I42" s="367"/>
      <c r="J42" s="367"/>
      <c r="K42" s="367"/>
    </row>
    <row r="43" spans="1:11" s="363" customFormat="1" x14ac:dyDescent="0.2">
      <c r="B43" s="367"/>
      <c r="C43" s="367"/>
      <c r="D43" s="367"/>
      <c r="E43" s="367"/>
      <c r="F43" s="367"/>
      <c r="G43" s="367"/>
      <c r="H43" s="367"/>
      <c r="I43" s="367"/>
      <c r="J43" s="367"/>
      <c r="K43" s="367"/>
    </row>
    <row r="44" spans="1:11" s="363" customFormat="1" x14ac:dyDescent="0.2">
      <c r="B44" s="368" t="s">
        <v>122</v>
      </c>
      <c r="C44" s="369"/>
      <c r="D44" s="369"/>
      <c r="E44" s="369"/>
      <c r="F44" s="369"/>
      <c r="G44" s="369"/>
      <c r="H44" s="369"/>
      <c r="I44" s="369"/>
      <c r="J44" s="369"/>
      <c r="K44" s="370"/>
    </row>
    <row r="45" spans="1:11" s="363" customFormat="1" ht="9.75" customHeight="1" x14ac:dyDescent="0.2">
      <c r="B45" s="371"/>
      <c r="C45" s="372"/>
      <c r="D45" s="372"/>
      <c r="E45" s="372"/>
      <c r="F45" s="372"/>
      <c r="G45" s="372"/>
      <c r="H45" s="372"/>
      <c r="I45" s="372"/>
      <c r="J45" s="372"/>
      <c r="K45" s="373"/>
    </row>
    <row r="46" spans="1:11" s="363" customFormat="1" ht="14.25" x14ac:dyDescent="0.2">
      <c r="B46" s="371" t="s">
        <v>123</v>
      </c>
      <c r="C46" s="372"/>
      <c r="D46" s="372"/>
      <c r="E46" s="372"/>
      <c r="F46" s="372"/>
      <c r="G46" s="372"/>
      <c r="H46" s="372"/>
      <c r="I46" s="372"/>
      <c r="J46" s="372"/>
      <c r="K46" s="373"/>
    </row>
    <row r="47" spans="1:11" s="363" customFormat="1" x14ac:dyDescent="0.2">
      <c r="B47" s="371" t="s">
        <v>124</v>
      </c>
      <c r="C47" s="372"/>
      <c r="D47" s="372"/>
      <c r="E47" s="372"/>
      <c r="F47" s="372"/>
      <c r="G47" s="372"/>
      <c r="H47" s="372"/>
      <c r="I47" s="372"/>
      <c r="J47" s="372"/>
      <c r="K47" s="373"/>
    </row>
    <row r="48" spans="1:11" s="363" customFormat="1" x14ac:dyDescent="0.2">
      <c r="B48" s="371" t="s">
        <v>125</v>
      </c>
      <c r="C48" s="372"/>
      <c r="D48" s="372"/>
      <c r="E48" s="372"/>
      <c r="F48" s="372"/>
      <c r="G48" s="372"/>
      <c r="H48" s="372"/>
      <c r="I48" s="372"/>
      <c r="J48" s="372"/>
      <c r="K48" s="373"/>
    </row>
    <row r="49" spans="2:11" s="363" customFormat="1" x14ac:dyDescent="0.2">
      <c r="B49" s="371" t="s">
        <v>126</v>
      </c>
      <c r="C49" s="372"/>
      <c r="D49" s="372"/>
      <c r="E49" s="372"/>
      <c r="F49" s="372"/>
      <c r="G49" s="372"/>
      <c r="H49" s="372"/>
      <c r="I49" s="372"/>
      <c r="J49" s="372"/>
      <c r="K49" s="373"/>
    </row>
    <row r="50" spans="2:11" s="363" customFormat="1" x14ac:dyDescent="0.2">
      <c r="B50" s="371" t="s">
        <v>127</v>
      </c>
      <c r="C50" s="372"/>
      <c r="D50" s="372"/>
      <c r="E50" s="372"/>
      <c r="F50" s="372"/>
      <c r="G50" s="372"/>
      <c r="H50" s="372"/>
      <c r="I50" s="372"/>
      <c r="J50" s="372"/>
      <c r="K50" s="373"/>
    </row>
    <row r="51" spans="2:11" s="363" customFormat="1" x14ac:dyDescent="0.2">
      <c r="B51" s="371" t="s">
        <v>128</v>
      </c>
      <c r="C51" s="372"/>
      <c r="D51" s="372"/>
      <c r="E51" s="372"/>
      <c r="F51" s="372"/>
      <c r="G51" s="372"/>
      <c r="H51" s="372"/>
      <c r="I51" s="372"/>
      <c r="J51" s="372"/>
      <c r="K51" s="373"/>
    </row>
    <row r="52" spans="2:11" s="363" customFormat="1" x14ac:dyDescent="0.2">
      <c r="B52" s="371" t="s">
        <v>129</v>
      </c>
      <c r="C52" s="372"/>
      <c r="D52" s="372"/>
      <c r="E52" s="372"/>
      <c r="F52" s="372"/>
      <c r="G52" s="372"/>
      <c r="H52" s="372"/>
      <c r="I52" s="372"/>
      <c r="J52" s="372"/>
      <c r="K52" s="373"/>
    </row>
    <row r="53" spans="2:11" s="363" customFormat="1" x14ac:dyDescent="0.2">
      <c r="B53" s="371" t="s">
        <v>130</v>
      </c>
      <c r="C53" s="372"/>
      <c r="D53" s="372"/>
      <c r="E53" s="372"/>
      <c r="F53" s="372"/>
      <c r="G53" s="372"/>
      <c r="H53" s="372"/>
      <c r="I53" s="372"/>
      <c r="J53" s="372"/>
      <c r="K53" s="373"/>
    </row>
    <row r="54" spans="2:11" s="363" customFormat="1" x14ac:dyDescent="0.2">
      <c r="B54" s="371"/>
      <c r="C54" s="372"/>
      <c r="D54" s="372"/>
      <c r="E54" s="372"/>
      <c r="F54" s="372"/>
      <c r="G54" s="372"/>
      <c r="H54" s="372"/>
      <c r="I54" s="372"/>
      <c r="J54" s="372"/>
      <c r="K54" s="373"/>
    </row>
    <row r="55" spans="2:11" ht="13.5" x14ac:dyDescent="0.2">
      <c r="B55" s="374" t="s">
        <v>131</v>
      </c>
      <c r="C55" s="375"/>
      <c r="D55" s="375"/>
      <c r="E55" s="375"/>
      <c r="F55" s="375"/>
      <c r="G55" s="375"/>
      <c r="H55" s="375"/>
      <c r="I55" s="375"/>
      <c r="J55" s="375"/>
      <c r="K55" s="376"/>
    </row>
    <row r="56" spans="2:11" x14ac:dyDescent="0.2">
      <c r="B56" s="377"/>
      <c r="C56" s="378"/>
      <c r="D56" s="378"/>
      <c r="E56" s="378"/>
      <c r="F56" s="378"/>
      <c r="G56" s="378"/>
      <c r="H56" s="378"/>
      <c r="I56" s="378"/>
      <c r="J56" s="378"/>
      <c r="K56" s="379"/>
    </row>
    <row r="57" spans="2:11" s="381" customFormat="1" x14ac:dyDescent="0.2">
      <c r="B57" s="380"/>
      <c r="C57" s="380"/>
      <c r="D57" s="380"/>
      <c r="E57" s="380"/>
      <c r="F57" s="380"/>
      <c r="G57" s="380"/>
      <c r="H57" s="380"/>
      <c r="I57" s="380"/>
      <c r="J57" s="380"/>
      <c r="K57" s="380"/>
    </row>
    <row r="58" spans="2:11" s="363" customFormat="1" ht="15.75" x14ac:dyDescent="0.25">
      <c r="B58" s="382" t="s">
        <v>132</v>
      </c>
      <c r="C58" s="367"/>
      <c r="D58" s="367"/>
      <c r="E58" s="367"/>
      <c r="F58" s="367"/>
      <c r="G58" s="367"/>
      <c r="H58" s="367"/>
      <c r="I58" s="367"/>
      <c r="J58" s="367"/>
      <c r="K58" s="367"/>
    </row>
    <row r="59" spans="2:11" s="363" customFormat="1" x14ac:dyDescent="0.2">
      <c r="B59" s="367"/>
      <c r="C59" s="367"/>
      <c r="D59" s="367"/>
      <c r="E59" s="367"/>
      <c r="F59" s="367"/>
      <c r="G59" s="367"/>
      <c r="H59" s="367"/>
      <c r="I59" s="367"/>
      <c r="J59" s="367"/>
      <c r="K59" s="367"/>
    </row>
    <row r="60" spans="2:11" s="363" customFormat="1" x14ac:dyDescent="0.2">
      <c r="B60" s="383" t="s">
        <v>133</v>
      </c>
      <c r="C60" s="367"/>
      <c r="D60" s="367"/>
      <c r="E60" s="367"/>
      <c r="F60" s="367"/>
      <c r="G60" s="367"/>
      <c r="H60" s="367"/>
      <c r="I60" s="367"/>
      <c r="J60" s="367"/>
      <c r="K60" s="367"/>
    </row>
    <row r="61" spans="2:11" s="363" customFormat="1" x14ac:dyDescent="0.2">
      <c r="B61" s="383" t="s">
        <v>134</v>
      </c>
      <c r="C61" s="367"/>
      <c r="D61" s="367"/>
      <c r="E61" s="367"/>
      <c r="F61" s="367"/>
      <c r="G61" s="367"/>
      <c r="H61" s="367"/>
      <c r="I61" s="367"/>
      <c r="J61" s="367"/>
      <c r="K61" s="367"/>
    </row>
    <row r="62" spans="2:11" s="363" customFormat="1" x14ac:dyDescent="0.2">
      <c r="B62" s="367"/>
      <c r="C62" s="367"/>
      <c r="D62" s="367"/>
      <c r="E62" s="367"/>
      <c r="F62" s="367"/>
      <c r="G62" s="367"/>
      <c r="H62" s="367"/>
      <c r="I62" s="367"/>
      <c r="J62" s="367"/>
      <c r="K62" s="367"/>
    </row>
    <row r="63" spans="2:11" s="363" customFormat="1" x14ac:dyDescent="0.2">
      <c r="B63" s="367"/>
      <c r="C63" s="367"/>
      <c r="D63" s="367"/>
      <c r="E63" s="367"/>
      <c r="F63" s="367"/>
      <c r="G63" s="367"/>
      <c r="H63" s="367"/>
      <c r="I63" s="367"/>
      <c r="J63" s="367"/>
      <c r="K63" s="367"/>
    </row>
    <row r="64" spans="2:11" s="363" customFormat="1" x14ac:dyDescent="0.2">
      <c r="B64" s="367"/>
      <c r="C64" s="367"/>
      <c r="D64" s="367"/>
      <c r="E64" s="367"/>
      <c r="F64" s="367"/>
      <c r="G64" s="367"/>
      <c r="H64" s="367"/>
      <c r="I64" s="367"/>
      <c r="J64" s="367"/>
      <c r="K64" s="367"/>
    </row>
    <row r="65" spans="2:11" s="363" customFormat="1" x14ac:dyDescent="0.2">
      <c r="B65" s="365"/>
      <c r="C65" s="365"/>
      <c r="D65" s="365"/>
      <c r="E65" s="365"/>
      <c r="F65" s="367"/>
      <c r="G65" s="367"/>
      <c r="H65" s="367"/>
      <c r="I65" s="367"/>
      <c r="J65" s="367"/>
      <c r="K65" s="367"/>
    </row>
    <row r="66" spans="2:11" s="363" customFormat="1" x14ac:dyDescent="0.2">
      <c r="B66" s="383" t="s">
        <v>135</v>
      </c>
      <c r="C66" s="367"/>
      <c r="D66" s="367"/>
      <c r="E66" s="367"/>
      <c r="F66" s="367"/>
      <c r="G66" s="367"/>
      <c r="H66" s="367"/>
      <c r="I66" s="367"/>
      <c r="J66" s="367"/>
      <c r="K66" s="367"/>
    </row>
  </sheetData>
  <sheetProtection sheet="1" selectLockedCells="1"/>
  <mergeCells count="4">
    <mergeCell ref="B1:K1"/>
    <mergeCell ref="F6:J6"/>
    <mergeCell ref="F8:H8"/>
    <mergeCell ref="I40:J40"/>
  </mergeCells>
  <pageMargins left="0.70866141732283472" right="0.46" top="0.78740157480314965" bottom="0.78740157480314965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C000"/>
  </sheetPr>
  <dimension ref="A1:Q56"/>
  <sheetViews>
    <sheetView workbookViewId="0">
      <selection activeCell="I6" sqref="I6"/>
    </sheetView>
  </sheetViews>
  <sheetFormatPr baseColWidth="10" defaultRowHeight="12.75" outlineLevelCol="1" x14ac:dyDescent="0.2"/>
  <cols>
    <col min="1" max="1" width="37.42578125" style="2" bestFit="1" customWidth="1"/>
    <col min="2" max="2" width="14.85546875" style="2" customWidth="1"/>
    <col min="3" max="3" width="13.42578125" style="11" customWidth="1"/>
    <col min="4" max="4" width="14.85546875" style="11" customWidth="1"/>
    <col min="5" max="5" width="18.140625" style="2" customWidth="1"/>
    <col min="6" max="6" width="11.42578125" style="2"/>
    <col min="7" max="7" width="20.5703125" style="2" customWidth="1"/>
    <col min="8" max="8" width="12.85546875" style="2" customWidth="1"/>
    <col min="9" max="9" width="11.42578125" style="2"/>
    <col min="10" max="10" width="20.28515625" style="2" bestFit="1" customWidth="1"/>
    <col min="11" max="11" width="17.42578125" style="2" customWidth="1"/>
    <col min="12" max="14" width="11.42578125" style="2"/>
    <col min="15" max="15" width="29" style="2" bestFit="1" customWidth="1" outlineLevel="1"/>
    <col min="16" max="16" width="17" style="2" bestFit="1" customWidth="1" outlineLevel="1"/>
    <col min="17" max="17" width="17" style="2" bestFit="1" customWidth="1"/>
    <col min="18" max="16384" width="11.42578125" style="2"/>
  </cols>
  <sheetData>
    <row r="1" spans="1:17" ht="25.5" x14ac:dyDescent="0.2">
      <c r="A1" s="384" t="s">
        <v>136</v>
      </c>
      <c r="B1" s="385" t="s">
        <v>137</v>
      </c>
      <c r="C1" s="386" t="s">
        <v>138</v>
      </c>
      <c r="D1" s="386" t="s">
        <v>139</v>
      </c>
      <c r="E1" s="387" t="s">
        <v>140</v>
      </c>
      <c r="F1" s="388" t="s">
        <v>141</v>
      </c>
      <c r="G1" s="389" t="s">
        <v>86</v>
      </c>
      <c r="H1" s="389" t="s">
        <v>88</v>
      </c>
      <c r="J1" s="390" t="s">
        <v>142</v>
      </c>
      <c r="K1" s="391"/>
      <c r="L1" s="391"/>
      <c r="M1" s="392"/>
      <c r="O1" s="705" t="s">
        <v>143</v>
      </c>
      <c r="P1" s="705"/>
      <c r="Q1" s="7" t="s">
        <v>144</v>
      </c>
    </row>
    <row r="2" spans="1:17" s="399" customFormat="1" ht="15.75" thickBot="1" x14ac:dyDescent="0.3">
      <c r="A2" s="393" t="s">
        <v>145</v>
      </c>
      <c r="B2" s="394" t="str">
        <f t="shared" ref="B2:B17" si="0">IF(+D2*12/C2=$E$2,"Okay","Stundensätze prüfen")</f>
        <v>Okay</v>
      </c>
      <c r="C2" s="395">
        <v>22.685384426430851</v>
      </c>
      <c r="D2" s="396">
        <v>3078.4066666666663</v>
      </c>
      <c r="E2" s="634">
        <v>1628.4</v>
      </c>
      <c r="F2" s="397">
        <v>1709.82</v>
      </c>
      <c r="G2" s="398">
        <v>0.03</v>
      </c>
      <c r="H2" s="398">
        <v>0.19</v>
      </c>
      <c r="J2" s="400" t="s">
        <v>146</v>
      </c>
      <c r="K2" s="401">
        <v>0.24752425287565083</v>
      </c>
      <c r="L2" s="402"/>
      <c r="M2" s="403"/>
      <c r="O2" s="404">
        <v>21.836101498403334</v>
      </c>
      <c r="P2" s="396">
        <v>2963.1589733333331</v>
      </c>
      <c r="Q2" s="405">
        <f>+P2/O2*12</f>
        <v>1628.4</v>
      </c>
    </row>
    <row r="3" spans="1:17" s="399" customFormat="1" ht="15" x14ac:dyDescent="0.25">
      <c r="A3" s="400" t="s">
        <v>147</v>
      </c>
      <c r="B3" s="394" t="str">
        <f t="shared" si="0"/>
        <v>Okay</v>
      </c>
      <c r="C3" s="396">
        <v>29.033800049127976</v>
      </c>
      <c r="D3" s="396">
        <v>3939.8866666666663</v>
      </c>
      <c r="E3" s="633" t="s">
        <v>388</v>
      </c>
      <c r="G3" s="398">
        <v>0.04</v>
      </c>
      <c r="H3" s="398">
        <v>0.16</v>
      </c>
      <c r="J3" s="400" t="s">
        <v>18</v>
      </c>
      <c r="K3" s="401">
        <v>0.19678745591474495</v>
      </c>
      <c r="L3" s="402"/>
      <c r="M3" s="403"/>
      <c r="O3" s="404">
        <v>29.975660930975184</v>
      </c>
      <c r="P3" s="396">
        <v>4067.6971883333331</v>
      </c>
      <c r="Q3" s="405">
        <f t="shared" ref="Q3:Q39" si="1">+P3/O3*12</f>
        <v>1628.4</v>
      </c>
    </row>
    <row r="4" spans="1:17" s="399" customFormat="1" ht="15.75" thickBot="1" x14ac:dyDescent="0.3">
      <c r="A4" s="400" t="s">
        <v>148</v>
      </c>
      <c r="B4" s="394" t="str">
        <f t="shared" si="0"/>
        <v>Okay</v>
      </c>
      <c r="C4" s="396">
        <v>31.057823630557603</v>
      </c>
      <c r="D4" s="396">
        <v>4214.5466666666671</v>
      </c>
      <c r="E4" s="628"/>
      <c r="G4" s="406">
        <v>0.05</v>
      </c>
      <c r="H4" s="406">
        <v>7.0000000000000007E-2</v>
      </c>
      <c r="J4" s="407" t="s">
        <v>149</v>
      </c>
      <c r="K4" s="408">
        <v>0.20372787055833069</v>
      </c>
      <c r="L4" s="409"/>
      <c r="M4" s="410"/>
      <c r="O4" s="404">
        <v>31.844272169000245</v>
      </c>
      <c r="P4" s="396">
        <v>4321.2677333333331</v>
      </c>
      <c r="Q4" s="405">
        <f t="shared" si="1"/>
        <v>1628.3999999999999</v>
      </c>
    </row>
    <row r="5" spans="1:17" s="399" customFormat="1" ht="15.75" thickBot="1" x14ac:dyDescent="0.3">
      <c r="A5" s="400" t="s">
        <v>150</v>
      </c>
      <c r="B5" s="394" t="str">
        <f t="shared" si="0"/>
        <v>Okay</v>
      </c>
      <c r="C5" s="396">
        <v>32.224220093343156</v>
      </c>
      <c r="D5" s="396">
        <v>4372.8266666666668</v>
      </c>
      <c r="E5" s="628"/>
      <c r="O5" s="404">
        <v>32.876420253009094</v>
      </c>
      <c r="P5" s="396">
        <v>4461.3302283333342</v>
      </c>
      <c r="Q5" s="405">
        <f t="shared" si="1"/>
        <v>1628.3999999999999</v>
      </c>
    </row>
    <row r="6" spans="1:17" ht="25.5" x14ac:dyDescent="0.25">
      <c r="A6" s="400" t="s">
        <v>151</v>
      </c>
      <c r="B6" s="394" t="str">
        <f t="shared" si="0"/>
        <v>Okay</v>
      </c>
      <c r="C6" s="396">
        <v>32.852591500859738</v>
      </c>
      <c r="D6" s="396">
        <v>4458.0966666666673</v>
      </c>
      <c r="J6" s="411" t="s">
        <v>142</v>
      </c>
      <c r="K6" s="412" t="s">
        <v>152</v>
      </c>
      <c r="L6" s="412" t="s">
        <v>153</v>
      </c>
      <c r="M6" s="413" t="s">
        <v>154</v>
      </c>
      <c r="N6" s="399"/>
      <c r="O6" s="404">
        <v>33.82400367231638</v>
      </c>
      <c r="P6" s="396">
        <v>4589.9172983333337</v>
      </c>
      <c r="Q6" s="405">
        <f t="shared" si="1"/>
        <v>1628.4</v>
      </c>
    </row>
    <row r="7" spans="1:17" ht="15.75" thickBot="1" x14ac:dyDescent="0.3">
      <c r="A7" s="400" t="s">
        <v>155</v>
      </c>
      <c r="B7" s="394" t="str">
        <f t="shared" si="0"/>
        <v>Okay</v>
      </c>
      <c r="C7" s="396">
        <v>33.785900270203882</v>
      </c>
      <c r="D7" s="396">
        <v>4584.7466666666669</v>
      </c>
      <c r="J7" s="414" t="s">
        <v>146</v>
      </c>
      <c r="K7" s="415">
        <v>7.51E-2</v>
      </c>
      <c r="L7" s="416">
        <v>1.7212145853214528E-2</v>
      </c>
      <c r="M7" s="417">
        <v>1.5650655146648731E-2</v>
      </c>
      <c r="N7" s="399"/>
      <c r="O7" s="404">
        <v>34.586769295013518</v>
      </c>
      <c r="P7" s="396">
        <v>4693.4245933333341</v>
      </c>
      <c r="Q7" s="405">
        <f t="shared" si="1"/>
        <v>1628.3999999999999</v>
      </c>
    </row>
    <row r="8" spans="1:17" ht="15" x14ac:dyDescent="0.25">
      <c r="A8" s="400" t="s">
        <v>156</v>
      </c>
      <c r="B8" s="394" t="str">
        <f t="shared" si="0"/>
        <v>Okay</v>
      </c>
      <c r="C8" s="396">
        <v>34.446253991648241</v>
      </c>
      <c r="D8" s="396">
        <v>4674.3566666666666</v>
      </c>
      <c r="E8" s="418" t="s">
        <v>7</v>
      </c>
      <c r="F8" s="391" t="s">
        <v>8</v>
      </c>
      <c r="G8" s="391" t="s">
        <v>9</v>
      </c>
      <c r="H8" s="419" t="s">
        <v>157</v>
      </c>
      <c r="J8" s="414" t="s">
        <v>18</v>
      </c>
      <c r="K8" s="415">
        <v>6.4000000000000001E-2</v>
      </c>
      <c r="L8" s="416">
        <v>1.4663219478304821E-2</v>
      </c>
      <c r="M8" s="417">
        <v>1.3332968088445063E-2</v>
      </c>
      <c r="N8" s="399"/>
      <c r="O8" s="404">
        <v>35.819653230164576</v>
      </c>
      <c r="P8" s="396">
        <v>4860.7269433333331</v>
      </c>
      <c r="Q8" s="405">
        <f t="shared" si="1"/>
        <v>1628.4</v>
      </c>
    </row>
    <row r="9" spans="1:17" ht="15.75" thickBot="1" x14ac:dyDescent="0.3">
      <c r="A9" s="400" t="s">
        <v>158</v>
      </c>
      <c r="B9" s="394" t="str">
        <f t="shared" si="0"/>
        <v>Okay</v>
      </c>
      <c r="C9" s="396">
        <v>35.703070498648984</v>
      </c>
      <c r="D9" s="396">
        <v>4844.9066666666668</v>
      </c>
      <c r="E9" s="420">
        <v>1</v>
      </c>
      <c r="F9" s="421" t="s">
        <v>13</v>
      </c>
      <c r="G9" s="11">
        <v>2013</v>
      </c>
      <c r="H9" s="422">
        <v>1</v>
      </c>
      <c r="J9" s="423" t="s">
        <v>149</v>
      </c>
      <c r="K9" s="424">
        <v>4.8899999999999999E-2</v>
      </c>
      <c r="L9" s="425">
        <v>1.1215663821169902E-2</v>
      </c>
      <c r="M9" s="426">
        <v>1.0198175648917847E-2</v>
      </c>
      <c r="N9" s="399"/>
      <c r="O9" s="404">
        <v>36.902693171210998</v>
      </c>
      <c r="P9" s="396">
        <v>5007.6954633333335</v>
      </c>
      <c r="Q9" s="405">
        <f t="shared" si="1"/>
        <v>1628.4</v>
      </c>
    </row>
    <row r="10" spans="1:17" ht="15" x14ac:dyDescent="0.25">
      <c r="A10" s="400" t="s">
        <v>159</v>
      </c>
      <c r="B10" s="394" t="str">
        <f t="shared" si="0"/>
        <v>Okay</v>
      </c>
      <c r="C10" s="396">
        <v>37.115450749201671</v>
      </c>
      <c r="D10" s="396">
        <v>5036.5666666666666</v>
      </c>
      <c r="E10" s="420">
        <v>2</v>
      </c>
      <c r="F10" s="421" t="s">
        <v>160</v>
      </c>
      <c r="G10" s="11">
        <v>2014</v>
      </c>
      <c r="H10" s="422">
        <v>2</v>
      </c>
      <c r="J10" s="427" t="s">
        <v>161</v>
      </c>
      <c r="K10" s="391"/>
      <c r="L10" s="391"/>
      <c r="M10" s="392"/>
      <c r="N10" s="399"/>
      <c r="O10" s="404">
        <v>38.563604409236056</v>
      </c>
      <c r="P10" s="396">
        <v>5233.0811183333335</v>
      </c>
      <c r="Q10" s="405">
        <f t="shared" si="1"/>
        <v>1628.4</v>
      </c>
    </row>
    <row r="11" spans="1:17" ht="15" x14ac:dyDescent="0.25">
      <c r="A11" s="400" t="s">
        <v>162</v>
      </c>
      <c r="B11" s="394" t="str">
        <f t="shared" si="0"/>
        <v>Okay</v>
      </c>
      <c r="C11" s="396">
        <v>43.351412429378527</v>
      </c>
      <c r="D11" s="396">
        <v>5882.7866666666669</v>
      </c>
      <c r="E11" s="420">
        <v>3</v>
      </c>
      <c r="F11" s="421" t="s">
        <v>163</v>
      </c>
      <c r="G11" s="11">
        <v>2015</v>
      </c>
      <c r="H11" s="422">
        <v>3</v>
      </c>
      <c r="J11" s="428">
        <v>1</v>
      </c>
      <c r="K11" s="421" t="s">
        <v>164</v>
      </c>
      <c r="L11" s="11"/>
      <c r="M11" s="422"/>
      <c r="N11" s="399"/>
      <c r="O11" s="404">
        <v>44.87687320068779</v>
      </c>
      <c r="P11" s="396">
        <v>6089.7916933333336</v>
      </c>
      <c r="Q11" s="405">
        <f t="shared" si="1"/>
        <v>1628.4</v>
      </c>
    </row>
    <row r="12" spans="1:17" ht="15" x14ac:dyDescent="0.25">
      <c r="A12" s="400" t="s">
        <v>165</v>
      </c>
      <c r="B12" s="394" t="str">
        <f t="shared" si="0"/>
        <v>Okay</v>
      </c>
      <c r="C12" s="396">
        <v>46.412797838368952</v>
      </c>
      <c r="D12" s="396">
        <v>6298.2166666666672</v>
      </c>
      <c r="E12" s="420">
        <v>4</v>
      </c>
      <c r="F12" s="421" t="s">
        <v>166</v>
      </c>
      <c r="G12" s="11">
        <v>2016</v>
      </c>
      <c r="H12" s="422">
        <v>4</v>
      </c>
      <c r="J12" s="428">
        <v>0.75</v>
      </c>
      <c r="K12" s="421" t="s">
        <v>167</v>
      </c>
      <c r="L12" s="11"/>
      <c r="M12" s="422"/>
      <c r="N12" s="399"/>
      <c r="O12" s="404">
        <v>47.833116126258901</v>
      </c>
      <c r="P12" s="396">
        <v>6490.9538583333333</v>
      </c>
      <c r="Q12" s="405">
        <f t="shared" si="1"/>
        <v>1628.4</v>
      </c>
    </row>
    <row r="13" spans="1:17" ht="15" x14ac:dyDescent="0.25">
      <c r="A13" s="400" t="s">
        <v>168</v>
      </c>
      <c r="B13" s="394" t="str">
        <f t="shared" si="0"/>
        <v>Okay</v>
      </c>
      <c r="C13" s="396">
        <v>49.544190616556122</v>
      </c>
      <c r="D13" s="396">
        <v>6723.1466666666665</v>
      </c>
      <c r="E13" s="420">
        <v>5</v>
      </c>
      <c r="F13" s="421" t="s">
        <v>169</v>
      </c>
      <c r="G13" s="11">
        <v>2017</v>
      </c>
      <c r="H13" s="422">
        <v>5</v>
      </c>
      <c r="J13" s="428">
        <v>0.66</v>
      </c>
      <c r="K13" s="421" t="s">
        <v>170</v>
      </c>
      <c r="L13" s="11"/>
      <c r="M13" s="422"/>
      <c r="N13" s="399"/>
      <c r="O13" s="404">
        <v>51.954285138786538</v>
      </c>
      <c r="P13" s="396">
        <v>7050.1964933333329</v>
      </c>
      <c r="Q13" s="405">
        <f t="shared" si="1"/>
        <v>1628.3999999999999</v>
      </c>
    </row>
    <row r="14" spans="1:17" ht="15" x14ac:dyDescent="0.25">
      <c r="A14" s="400" t="s">
        <v>171</v>
      </c>
      <c r="B14" s="394" t="str">
        <f t="shared" si="0"/>
        <v>Okay</v>
      </c>
      <c r="C14" s="396">
        <v>49.87396217145664</v>
      </c>
      <c r="D14" s="396">
        <v>6767.8966666666665</v>
      </c>
      <c r="E14" s="420">
        <v>6</v>
      </c>
      <c r="F14" s="421" t="s">
        <v>172</v>
      </c>
      <c r="G14" s="11">
        <v>2018</v>
      </c>
      <c r="H14" s="422">
        <v>6</v>
      </c>
      <c r="J14" s="428">
        <v>0.6</v>
      </c>
      <c r="K14" s="421" t="s">
        <v>173</v>
      </c>
      <c r="L14" s="11"/>
      <c r="M14" s="422"/>
      <c r="N14" s="399"/>
      <c r="O14" s="404">
        <v>51.163509862441664</v>
      </c>
      <c r="P14" s="396">
        <v>6942.8882883333335</v>
      </c>
      <c r="Q14" s="405">
        <f t="shared" si="1"/>
        <v>1628.3999999999999</v>
      </c>
    </row>
    <row r="15" spans="1:17" ht="15" x14ac:dyDescent="0.25">
      <c r="A15" s="400" t="s">
        <v>174</v>
      </c>
      <c r="B15" s="394" t="str">
        <f t="shared" si="0"/>
        <v>Okay</v>
      </c>
      <c r="C15" s="396">
        <v>49.966150822893638</v>
      </c>
      <c r="D15" s="396">
        <v>6780.4066666666668</v>
      </c>
      <c r="E15" s="420">
        <v>7</v>
      </c>
      <c r="F15" s="421" t="s">
        <v>175</v>
      </c>
      <c r="G15" s="11">
        <v>2019</v>
      </c>
      <c r="H15" s="422">
        <v>7</v>
      </c>
      <c r="J15" s="428">
        <v>0.5</v>
      </c>
      <c r="K15" s="421" t="s">
        <v>176</v>
      </c>
      <c r="L15" s="11"/>
      <c r="M15" s="422"/>
      <c r="N15" s="399"/>
      <c r="O15" s="404">
        <v>50.975630901498398</v>
      </c>
      <c r="P15" s="396">
        <v>6917.3931133333335</v>
      </c>
      <c r="Q15" s="405">
        <f t="shared" si="1"/>
        <v>1628.4</v>
      </c>
    </row>
    <row r="16" spans="1:17" ht="15" x14ac:dyDescent="0.25">
      <c r="A16" s="400" t="s">
        <v>177</v>
      </c>
      <c r="B16" s="394" t="str">
        <f t="shared" si="0"/>
        <v>Okay</v>
      </c>
      <c r="C16" s="396">
        <v>62.382068287889943</v>
      </c>
      <c r="D16" s="396">
        <v>8465.246666666666</v>
      </c>
      <c r="E16" s="420">
        <v>8</v>
      </c>
      <c r="F16" s="421" t="s">
        <v>178</v>
      </c>
      <c r="G16" s="11">
        <v>2020</v>
      </c>
      <c r="H16" s="422">
        <v>8</v>
      </c>
      <c r="J16" s="428">
        <v>0.3</v>
      </c>
      <c r="K16" s="421" t="s">
        <v>179</v>
      </c>
      <c r="L16" s="11"/>
      <c r="M16" s="422"/>
      <c r="N16" s="399"/>
      <c r="O16" s="404">
        <v>63.641580975190365</v>
      </c>
      <c r="P16" s="396">
        <v>8636.1625383333321</v>
      </c>
      <c r="Q16" s="405">
        <f t="shared" si="1"/>
        <v>1628.3999999999999</v>
      </c>
    </row>
    <row r="17" spans="1:17" ht="15" x14ac:dyDescent="0.25">
      <c r="A17" s="400" t="s">
        <v>180</v>
      </c>
      <c r="B17" s="394" t="str">
        <f t="shared" si="0"/>
        <v>Okay</v>
      </c>
      <c r="C17" s="396">
        <v>67.314197985752884</v>
      </c>
      <c r="D17" s="396">
        <v>9134.5366666666669</v>
      </c>
      <c r="E17" s="420">
        <v>9</v>
      </c>
      <c r="F17" s="421" t="s">
        <v>181</v>
      </c>
      <c r="G17" s="11">
        <v>2021</v>
      </c>
      <c r="H17" s="422">
        <v>9</v>
      </c>
      <c r="J17" s="428">
        <v>0.25</v>
      </c>
      <c r="K17" s="421" t="s">
        <v>182</v>
      </c>
      <c r="L17" s="11"/>
      <c r="M17" s="422"/>
      <c r="N17" s="399"/>
      <c r="O17" s="404">
        <v>67.723414026037815</v>
      </c>
      <c r="P17" s="396">
        <v>9190.0672833333338</v>
      </c>
      <c r="Q17" s="405">
        <f t="shared" si="1"/>
        <v>1628.4000000000005</v>
      </c>
    </row>
    <row r="18" spans="1:17" ht="15" x14ac:dyDescent="0.25">
      <c r="A18" s="420" t="s">
        <v>183</v>
      </c>
      <c r="B18" s="394" t="str">
        <f>IF(+D18*12/C18=$F$2,"Okay","Stundensätze prüfen")</f>
        <v>Okay</v>
      </c>
      <c r="C18" s="429">
        <v>33.701582622732211</v>
      </c>
      <c r="D18" s="430">
        <v>4801.9699999999993</v>
      </c>
      <c r="E18" s="420">
        <v>10</v>
      </c>
      <c r="F18" s="421" t="s">
        <v>184</v>
      </c>
      <c r="G18" s="11">
        <v>2022</v>
      </c>
      <c r="H18" s="422">
        <v>10</v>
      </c>
      <c r="J18" s="428">
        <v>0.1</v>
      </c>
      <c r="K18" s="421" t="s">
        <v>185</v>
      </c>
      <c r="L18" s="11"/>
      <c r="M18" s="422"/>
      <c r="N18" s="399"/>
      <c r="O18" s="404">
        <v>33.593654700494781</v>
      </c>
      <c r="P18" s="396">
        <v>4786.5918899999997</v>
      </c>
      <c r="Q18" s="405">
        <f t="shared" si="1"/>
        <v>1709.8200000000002</v>
      </c>
    </row>
    <row r="19" spans="1:17" ht="15.75" thickBot="1" x14ac:dyDescent="0.3">
      <c r="A19" s="420" t="s">
        <v>186</v>
      </c>
      <c r="B19" s="394" t="str">
        <f t="shared" ref="B19:B36" si="2">IF(+D19*12/C19=$F$2,"Okay","Stundensätze prüfen")</f>
        <v>Okay</v>
      </c>
      <c r="C19" s="429">
        <v>35.254167105309328</v>
      </c>
      <c r="D19" s="430">
        <v>5023.1900000000005</v>
      </c>
      <c r="E19" s="420">
        <v>11</v>
      </c>
      <c r="F19" s="421" t="s">
        <v>187</v>
      </c>
      <c r="G19" s="11">
        <v>2023</v>
      </c>
      <c r="H19" s="422">
        <v>11</v>
      </c>
      <c r="J19" s="431">
        <v>0</v>
      </c>
      <c r="K19" s="432"/>
      <c r="L19" s="432"/>
      <c r="M19" s="433"/>
      <c r="N19" s="399"/>
      <c r="O19" s="404">
        <v>35.14916349089377</v>
      </c>
      <c r="P19" s="396">
        <v>5008.2285599999996</v>
      </c>
      <c r="Q19" s="405">
        <f t="shared" si="1"/>
        <v>1709.8200000000002</v>
      </c>
    </row>
    <row r="20" spans="1:17" ht="15" x14ac:dyDescent="0.25">
      <c r="A20" s="420" t="s">
        <v>188</v>
      </c>
      <c r="B20" s="394" t="str">
        <f t="shared" si="2"/>
        <v>Okay</v>
      </c>
      <c r="C20" s="429">
        <v>36.455767273748108</v>
      </c>
      <c r="D20" s="430">
        <v>5194.3999999999996</v>
      </c>
      <c r="E20" s="420">
        <v>12</v>
      </c>
      <c r="F20" s="421" t="s">
        <v>15</v>
      </c>
      <c r="G20" s="11">
        <v>2024</v>
      </c>
      <c r="H20" s="422">
        <v>12</v>
      </c>
      <c r="N20" s="399"/>
      <c r="O20" s="404">
        <v>36.669760430922551</v>
      </c>
      <c r="P20" s="396">
        <v>5224.8908150000007</v>
      </c>
      <c r="Q20" s="405">
        <f t="shared" si="1"/>
        <v>1709.8200000000002</v>
      </c>
    </row>
    <row r="21" spans="1:17" ht="15.75" thickBot="1" x14ac:dyDescent="0.3">
      <c r="A21" s="420" t="s">
        <v>189</v>
      </c>
      <c r="B21" s="394" t="str">
        <f t="shared" si="2"/>
        <v>Okay</v>
      </c>
      <c r="C21" s="429">
        <v>38.981015545496014</v>
      </c>
      <c r="D21" s="430">
        <v>5554.21</v>
      </c>
      <c r="E21" s="420">
        <v>13</v>
      </c>
      <c r="F21" s="11"/>
      <c r="G21" s="11">
        <v>2025</v>
      </c>
      <c r="H21" s="422"/>
      <c r="J21" s="434" t="s">
        <v>190</v>
      </c>
      <c r="K21" s="434" t="s">
        <v>191</v>
      </c>
      <c r="N21" s="399"/>
      <c r="O21" s="404">
        <v>38.884221286451208</v>
      </c>
      <c r="P21" s="396">
        <v>5540.4182700000001</v>
      </c>
      <c r="Q21" s="405">
        <f t="shared" si="1"/>
        <v>1709.8199999999997</v>
      </c>
    </row>
    <row r="22" spans="1:17" ht="15" x14ac:dyDescent="0.25">
      <c r="A22" s="420" t="s">
        <v>192</v>
      </c>
      <c r="B22" s="394" t="str">
        <f t="shared" si="2"/>
        <v>Okay</v>
      </c>
      <c r="C22" s="429">
        <v>40.154121486472263</v>
      </c>
      <c r="D22" s="430">
        <v>5721.3600000000006</v>
      </c>
      <c r="E22" s="420">
        <v>14</v>
      </c>
      <c r="F22" s="11"/>
      <c r="G22" s="11">
        <v>2026</v>
      </c>
      <c r="H22" s="422"/>
      <c r="J22" s="435" t="s">
        <v>146</v>
      </c>
      <c r="K22" s="436">
        <f>+'Mieten nach Campusber.'!G3</f>
        <v>27.332833333333337</v>
      </c>
      <c r="N22" s="399"/>
      <c r="O22" s="404">
        <v>38.833930729550481</v>
      </c>
      <c r="P22" s="396">
        <v>5533.2526200000002</v>
      </c>
      <c r="Q22" s="405">
        <f t="shared" si="1"/>
        <v>1709.8199999999997</v>
      </c>
    </row>
    <row r="23" spans="1:17" ht="15" x14ac:dyDescent="0.25">
      <c r="A23" s="420" t="s">
        <v>193</v>
      </c>
      <c r="B23" s="394" t="str">
        <f t="shared" si="2"/>
        <v>Okay</v>
      </c>
      <c r="C23" s="429">
        <v>40.700564971751405</v>
      </c>
      <c r="D23" s="430">
        <v>5799.22</v>
      </c>
      <c r="E23" s="420">
        <v>15</v>
      </c>
      <c r="F23" s="11"/>
      <c r="G23" s="11">
        <v>2027</v>
      </c>
      <c r="H23" s="422"/>
      <c r="J23" s="437" t="s">
        <v>18</v>
      </c>
      <c r="K23" s="438">
        <f>+'Mieten nach Campusber.'!G4</f>
        <v>26.127166666666664</v>
      </c>
      <c r="N23" s="399"/>
      <c r="O23" s="404">
        <v>40.859255360213346</v>
      </c>
      <c r="P23" s="396">
        <v>5821.8310000000001</v>
      </c>
      <c r="Q23" s="405">
        <f t="shared" si="1"/>
        <v>1709.8200000000006</v>
      </c>
    </row>
    <row r="24" spans="1:17" ht="15.75" thickBot="1" x14ac:dyDescent="0.3">
      <c r="A24" s="400" t="s">
        <v>194</v>
      </c>
      <c r="B24" s="394" t="str">
        <f t="shared" si="2"/>
        <v>Okay</v>
      </c>
      <c r="C24" s="429">
        <v>43.609432571849666</v>
      </c>
      <c r="D24" s="430">
        <v>6213.69</v>
      </c>
      <c r="E24" s="420">
        <v>16</v>
      </c>
      <c r="F24" s="11"/>
      <c r="G24" s="11">
        <v>2028</v>
      </c>
      <c r="H24" s="422"/>
      <c r="J24" s="439" t="s">
        <v>149</v>
      </c>
      <c r="K24" s="440">
        <f>+'Mieten nach Campusber.'!G5</f>
        <v>28.755000000000003</v>
      </c>
      <c r="N24" s="399"/>
      <c r="O24" s="404">
        <v>44.231710952030035</v>
      </c>
      <c r="P24" s="396">
        <v>6302.3553350000002</v>
      </c>
      <c r="Q24" s="405">
        <f t="shared" si="1"/>
        <v>1709.8200000000002</v>
      </c>
    </row>
    <row r="25" spans="1:17" ht="15" x14ac:dyDescent="0.25">
      <c r="A25" s="420" t="s">
        <v>195</v>
      </c>
      <c r="B25" s="394" t="str">
        <f t="shared" si="2"/>
        <v>Okay</v>
      </c>
      <c r="C25" s="429">
        <v>47.905253184545735</v>
      </c>
      <c r="D25" s="430">
        <v>6825.78</v>
      </c>
      <c r="E25" s="420">
        <v>17</v>
      </c>
      <c r="F25" s="11"/>
      <c r="G25" s="11">
        <v>2029</v>
      </c>
      <c r="H25" s="422"/>
      <c r="N25" s="399"/>
      <c r="O25" s="404">
        <v>48.429223216478924</v>
      </c>
      <c r="P25" s="396">
        <v>6900.4378699999997</v>
      </c>
      <c r="Q25" s="405">
        <f t="shared" si="1"/>
        <v>1709.8200000000002</v>
      </c>
    </row>
    <row r="26" spans="1:17" ht="15" x14ac:dyDescent="0.25">
      <c r="A26" s="420" t="s">
        <v>196</v>
      </c>
      <c r="B26" s="394" t="str">
        <f t="shared" si="2"/>
        <v>Okay</v>
      </c>
      <c r="C26" s="429">
        <v>51.887005649717509</v>
      </c>
      <c r="D26" s="430">
        <v>7393.12</v>
      </c>
      <c r="E26" s="420">
        <v>18</v>
      </c>
      <c r="F26" s="11"/>
      <c r="G26" s="11">
        <v>2030</v>
      </c>
      <c r="H26" s="422"/>
      <c r="N26" s="399"/>
      <c r="O26" s="404">
        <v>52.01472126890549</v>
      </c>
      <c r="P26" s="396">
        <v>7411.3175600000004</v>
      </c>
      <c r="Q26" s="405">
        <f t="shared" si="1"/>
        <v>1709.8200000000006</v>
      </c>
    </row>
    <row r="27" spans="1:17" ht="15" x14ac:dyDescent="0.25">
      <c r="A27" s="420" t="s">
        <v>197</v>
      </c>
      <c r="B27" s="394" t="str">
        <f t="shared" si="2"/>
        <v>Okay</v>
      </c>
      <c r="C27" s="429">
        <v>56.163806716496467</v>
      </c>
      <c r="D27" s="430">
        <v>8002.5</v>
      </c>
      <c r="E27" s="420">
        <v>19</v>
      </c>
      <c r="F27" s="11"/>
      <c r="G27" s="11"/>
      <c r="H27" s="422"/>
      <c r="N27" s="399"/>
      <c r="O27" s="404">
        <v>56.246780959399231</v>
      </c>
      <c r="P27" s="396">
        <v>8014.3225849999999</v>
      </c>
      <c r="Q27" s="405">
        <f t="shared" si="1"/>
        <v>1709.8200000000002</v>
      </c>
    </row>
    <row r="28" spans="1:17" ht="15" x14ac:dyDescent="0.25">
      <c r="A28" s="420" t="s">
        <v>198</v>
      </c>
      <c r="B28" s="394" t="str">
        <f t="shared" si="2"/>
        <v>Okay</v>
      </c>
      <c r="C28" s="429">
        <v>57.506263817243905</v>
      </c>
      <c r="D28" s="430">
        <v>8193.7799999999988</v>
      </c>
      <c r="E28" s="420">
        <v>20</v>
      </c>
      <c r="F28" s="11"/>
      <c r="G28" s="11"/>
      <c r="H28" s="422"/>
      <c r="N28" s="399"/>
      <c r="O28" s="404">
        <v>57.826195985542334</v>
      </c>
      <c r="P28" s="396">
        <v>8239.365534999999</v>
      </c>
      <c r="Q28" s="405">
        <f t="shared" si="1"/>
        <v>1709.8199999999997</v>
      </c>
    </row>
    <row r="29" spans="1:17" ht="15" x14ac:dyDescent="0.25">
      <c r="A29" s="420" t="s">
        <v>199</v>
      </c>
      <c r="B29" s="394" t="str">
        <f t="shared" si="2"/>
        <v>Okay</v>
      </c>
      <c r="C29" s="429">
        <v>62.701968628276653</v>
      </c>
      <c r="D29" s="430">
        <v>8934.09</v>
      </c>
      <c r="E29" s="420">
        <v>21</v>
      </c>
      <c r="F29" s="11"/>
      <c r="G29" s="11"/>
      <c r="H29" s="422"/>
      <c r="N29" s="399"/>
      <c r="O29" s="404">
        <v>63.041180966417514</v>
      </c>
      <c r="P29" s="396">
        <v>8982.4226699999999</v>
      </c>
      <c r="Q29" s="405">
        <f t="shared" si="1"/>
        <v>1709.8200000000002</v>
      </c>
    </row>
    <row r="30" spans="1:17" ht="15" x14ac:dyDescent="0.25">
      <c r="A30" s="420" t="s">
        <v>200</v>
      </c>
      <c r="B30" s="394" t="str">
        <f t="shared" si="2"/>
        <v>Okay</v>
      </c>
      <c r="C30" s="429">
        <v>67.744394146752299</v>
      </c>
      <c r="D30" s="430">
        <v>9652.5600000000013</v>
      </c>
      <c r="E30" s="420">
        <v>22</v>
      </c>
      <c r="F30" s="11"/>
      <c r="G30" s="11"/>
      <c r="H30" s="422"/>
      <c r="N30" s="399"/>
      <c r="O30" s="404">
        <v>67.826582552549397</v>
      </c>
      <c r="P30" s="396">
        <v>9664.2706149999995</v>
      </c>
      <c r="Q30" s="405">
        <f t="shared" si="1"/>
        <v>1709.8199999999997</v>
      </c>
    </row>
    <row r="31" spans="1:17" ht="15" x14ac:dyDescent="0.25">
      <c r="A31" s="420" t="s">
        <v>201</v>
      </c>
      <c r="B31" s="394" t="str">
        <f t="shared" si="2"/>
        <v>Okay</v>
      </c>
      <c r="C31" s="429">
        <v>73.513282099870167</v>
      </c>
      <c r="D31" s="430">
        <v>10474.540000000001</v>
      </c>
      <c r="E31" s="420">
        <v>23</v>
      </c>
      <c r="F31" s="11"/>
      <c r="G31" s="11"/>
      <c r="H31" s="422"/>
      <c r="N31" s="399"/>
      <c r="O31" s="404">
        <v>75.278914236586303</v>
      </c>
      <c r="P31" s="396">
        <v>10726.116095000001</v>
      </c>
      <c r="Q31" s="405">
        <f t="shared" si="1"/>
        <v>1709.8200000000002</v>
      </c>
    </row>
    <row r="32" spans="1:17" ht="15" x14ac:dyDescent="0.25">
      <c r="A32" s="420" t="s">
        <v>202</v>
      </c>
      <c r="B32" s="394" t="str">
        <f t="shared" si="2"/>
        <v>Okay</v>
      </c>
      <c r="C32" s="441">
        <v>75.257886795101228</v>
      </c>
      <c r="D32" s="430">
        <v>10723.12</v>
      </c>
      <c r="E32" s="420">
        <v>24</v>
      </c>
      <c r="F32" s="11"/>
      <c r="G32" s="11"/>
      <c r="H32" s="422"/>
      <c r="N32" s="399"/>
      <c r="O32" s="404">
        <v>75.252675685159829</v>
      </c>
      <c r="P32" s="396">
        <v>10722.377494999999</v>
      </c>
      <c r="Q32" s="405">
        <f t="shared" si="1"/>
        <v>1709.8200000000002</v>
      </c>
    </row>
    <row r="33" spans="1:17" ht="15" x14ac:dyDescent="0.25">
      <c r="A33" s="420" t="s">
        <v>203</v>
      </c>
      <c r="B33" s="394" t="str">
        <f t="shared" si="2"/>
        <v>Okay</v>
      </c>
      <c r="C33" s="441">
        <v>84.251184335193173</v>
      </c>
      <c r="D33" s="430">
        <v>12004.53</v>
      </c>
      <c r="E33" s="420">
        <v>25</v>
      </c>
      <c r="F33" s="11"/>
      <c r="G33" s="11"/>
      <c r="H33" s="422"/>
      <c r="N33" s="399"/>
      <c r="O33" s="404">
        <v>84.747387058286833</v>
      </c>
      <c r="P33" s="396">
        <v>12075.231444999999</v>
      </c>
      <c r="Q33" s="405">
        <f t="shared" si="1"/>
        <v>1709.8200000000002</v>
      </c>
    </row>
    <row r="34" spans="1:17" ht="15" x14ac:dyDescent="0.25">
      <c r="A34" s="420" t="s">
        <v>204</v>
      </c>
      <c r="B34" s="394" t="str">
        <f t="shared" si="2"/>
        <v>Okay</v>
      </c>
      <c r="C34" s="441">
        <v>60.230480401445753</v>
      </c>
      <c r="D34" s="430">
        <v>8581.9399999999987</v>
      </c>
      <c r="E34" s="420">
        <v>26</v>
      </c>
      <c r="F34" s="11"/>
      <c r="G34" s="11"/>
      <c r="H34" s="422"/>
      <c r="N34" s="399"/>
      <c r="O34" s="404">
        <v>59.780822297083894</v>
      </c>
      <c r="P34" s="396">
        <v>8517.870465</v>
      </c>
      <c r="Q34" s="405">
        <f t="shared" si="1"/>
        <v>1709.8200000000002</v>
      </c>
    </row>
    <row r="35" spans="1:17" ht="15" x14ac:dyDescent="0.25">
      <c r="A35" s="420" t="s">
        <v>205</v>
      </c>
      <c r="B35" s="394" t="str">
        <f t="shared" si="2"/>
        <v>Okay</v>
      </c>
      <c r="C35" s="441">
        <v>74.927255500578994</v>
      </c>
      <c r="D35" s="430">
        <v>10676.01</v>
      </c>
      <c r="E35" s="420">
        <v>27</v>
      </c>
      <c r="F35" s="11"/>
      <c r="G35" s="11"/>
      <c r="H35" s="422"/>
      <c r="N35" s="399"/>
      <c r="O35" s="404">
        <v>74.748822612906608</v>
      </c>
      <c r="P35" s="396">
        <v>10650.58599</v>
      </c>
      <c r="Q35" s="405">
        <f t="shared" si="1"/>
        <v>1709.8200000000002</v>
      </c>
    </row>
    <row r="36" spans="1:17" ht="15" x14ac:dyDescent="0.25">
      <c r="A36" s="420" t="s">
        <v>206</v>
      </c>
      <c r="B36" s="394" t="str">
        <f t="shared" si="2"/>
        <v>Okay</v>
      </c>
      <c r="C36" s="441">
        <v>85.711899498192778</v>
      </c>
      <c r="D36" s="430">
        <v>12212.66</v>
      </c>
      <c r="E36" s="420">
        <v>28</v>
      </c>
      <c r="F36" s="11"/>
      <c r="G36" s="11"/>
      <c r="H36" s="422"/>
      <c r="N36" s="399"/>
      <c r="O36" s="404">
        <v>85.085135523037493</v>
      </c>
      <c r="P36" s="396">
        <v>12123.355534999999</v>
      </c>
      <c r="Q36" s="405">
        <f t="shared" si="1"/>
        <v>1709.8200000000002</v>
      </c>
    </row>
    <row r="37" spans="1:17" ht="15" x14ac:dyDescent="0.25">
      <c r="A37" s="442" t="s">
        <v>207</v>
      </c>
      <c r="B37" s="394" t="str">
        <f>IF(+D37*12/C37=$F$2,"Okay","Stundensätze prüfen")</f>
        <v>Okay</v>
      </c>
      <c r="C37" s="443">
        <v>78.188157232925093</v>
      </c>
      <c r="D37" s="430">
        <v>11140.639583333332</v>
      </c>
      <c r="E37" s="420">
        <v>29</v>
      </c>
      <c r="F37" s="11"/>
      <c r="G37" s="11"/>
      <c r="H37" s="422"/>
      <c r="L37" s="444"/>
      <c r="N37" s="399"/>
      <c r="O37" s="404">
        <v>79.218043580610825</v>
      </c>
      <c r="P37" s="396">
        <v>11287.382939583333</v>
      </c>
      <c r="Q37" s="405">
        <f t="shared" si="1"/>
        <v>1709.8199999999997</v>
      </c>
    </row>
    <row r="38" spans="1:17" ht="15" x14ac:dyDescent="0.25">
      <c r="A38" s="442" t="s">
        <v>208</v>
      </c>
      <c r="B38" s="394" t="str">
        <f>IF(+D38*12/C38=$E$2,"Okay","Stundensätze prüfen")</f>
        <v>Okay</v>
      </c>
      <c r="C38" s="443">
        <v>65.0186379267993</v>
      </c>
      <c r="D38" s="430">
        <v>8823.0291666666653</v>
      </c>
      <c r="E38" s="420">
        <v>30</v>
      </c>
      <c r="F38" s="11"/>
      <c r="G38" s="11"/>
      <c r="H38" s="422"/>
      <c r="J38" s="445"/>
      <c r="L38" s="444"/>
      <c r="N38" s="399"/>
      <c r="O38" s="404">
        <v>65.875220116371878</v>
      </c>
      <c r="P38" s="396">
        <v>8939.2673697916653</v>
      </c>
      <c r="Q38" s="405">
        <f t="shared" si="1"/>
        <v>1628.4</v>
      </c>
    </row>
    <row r="39" spans="1:17" ht="15.75" thickBot="1" x14ac:dyDescent="0.3">
      <c r="A39" s="442" t="s">
        <v>209</v>
      </c>
      <c r="B39" s="394" t="str">
        <f>IF(+D39*12/C39=$E$2,"Okay","Stundensätze prüfen")</f>
        <v>Okay</v>
      </c>
      <c r="C39" s="443">
        <v>36.663074183247353</v>
      </c>
      <c r="D39" s="430">
        <v>4975.1791666666659</v>
      </c>
      <c r="E39" s="446">
        <v>31</v>
      </c>
      <c r="F39" s="432"/>
      <c r="G39" s="432"/>
      <c r="H39" s="433"/>
      <c r="L39" s="444"/>
      <c r="N39" s="399"/>
      <c r="O39" s="404">
        <v>37.145714543416837</v>
      </c>
      <c r="P39" s="396">
        <v>5040.673463541666</v>
      </c>
      <c r="Q39" s="405">
        <f t="shared" si="1"/>
        <v>1628.4000000000005</v>
      </c>
    </row>
    <row r="40" spans="1:17" x14ac:dyDescent="0.2">
      <c r="A40" s="447" t="s">
        <v>210</v>
      </c>
      <c r="B40" s="394"/>
      <c r="C40" s="448">
        <v>14.808390787419137</v>
      </c>
      <c r="D40" s="449"/>
      <c r="L40" s="444"/>
      <c r="N40" s="399"/>
    </row>
    <row r="41" spans="1:17" ht="13.5" thickBot="1" x14ac:dyDescent="0.25">
      <c r="A41" s="450" t="s">
        <v>211</v>
      </c>
      <c r="B41" s="451"/>
      <c r="C41" s="448">
        <v>22.238399999999999</v>
      </c>
      <c r="D41" s="449"/>
      <c r="L41" s="444"/>
      <c r="N41" s="399"/>
    </row>
    <row r="42" spans="1:17" ht="13.5" thickBot="1" x14ac:dyDescent="0.25">
      <c r="L42" s="444"/>
      <c r="N42" s="399"/>
    </row>
    <row r="43" spans="1:17" x14ac:dyDescent="0.2">
      <c r="A43" s="452" t="s">
        <v>212</v>
      </c>
      <c r="B43" s="385"/>
      <c r="E43" s="453"/>
      <c r="L43" s="444"/>
      <c r="N43" s="399"/>
    </row>
    <row r="44" spans="1:17" x14ac:dyDescent="0.2">
      <c r="A44" s="454" t="s">
        <v>213</v>
      </c>
      <c r="B44" s="455" t="s">
        <v>138</v>
      </c>
      <c r="C44" s="456"/>
      <c r="L44" s="444"/>
    </row>
    <row r="45" spans="1:17" x14ac:dyDescent="0.2">
      <c r="A45" s="454"/>
      <c r="B45" s="455"/>
      <c r="L45" s="444"/>
    </row>
    <row r="46" spans="1:17" x14ac:dyDescent="0.2">
      <c r="A46" s="457" t="s">
        <v>214</v>
      </c>
      <c r="B46" s="458">
        <v>75</v>
      </c>
      <c r="L46" s="444"/>
    </row>
    <row r="47" spans="1:17" x14ac:dyDescent="0.2">
      <c r="A47" s="457" t="s">
        <v>215</v>
      </c>
      <c r="B47" s="458">
        <v>55</v>
      </c>
      <c r="H47" s="453"/>
      <c r="L47" s="444"/>
    </row>
    <row r="48" spans="1:17" ht="13.5" thickBot="1" x14ac:dyDescent="0.25">
      <c r="A48" s="459" t="s">
        <v>216</v>
      </c>
      <c r="B48" s="460">
        <v>40</v>
      </c>
      <c r="L48" s="444"/>
    </row>
    <row r="49" spans="3:12" x14ac:dyDescent="0.2">
      <c r="C49" s="461"/>
      <c r="L49" s="444"/>
    </row>
    <row r="50" spans="3:12" hidden="1" x14ac:dyDescent="0.2">
      <c r="L50" s="444"/>
    </row>
    <row r="51" spans="3:12" x14ac:dyDescent="0.2">
      <c r="L51" s="444"/>
    </row>
    <row r="52" spans="3:12" x14ac:dyDescent="0.2">
      <c r="L52" s="444"/>
    </row>
    <row r="53" spans="3:12" x14ac:dyDescent="0.2">
      <c r="L53" s="444"/>
    </row>
    <row r="54" spans="3:12" x14ac:dyDescent="0.2">
      <c r="L54" s="444"/>
    </row>
    <row r="55" spans="3:12" x14ac:dyDescent="0.2">
      <c r="L55" s="444"/>
    </row>
    <row r="56" spans="3:12" x14ac:dyDescent="0.2">
      <c r="L56" s="444"/>
    </row>
  </sheetData>
  <sheetProtection selectLockedCells="1"/>
  <mergeCells count="1">
    <mergeCell ref="O1:P1"/>
  </mergeCells>
  <conditionalFormatting sqref="B2:B41">
    <cfRule type="cellIs" dxfId="1" priority="1" operator="equal">
      <formula>$E$2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pageSetUpPr fitToPage="1"/>
  </sheetPr>
  <dimension ref="A1:Z56"/>
  <sheetViews>
    <sheetView topLeftCell="O26" zoomScale="80" zoomScaleNormal="80" workbookViewId="0">
      <selection activeCell="V38" sqref="V38"/>
    </sheetView>
  </sheetViews>
  <sheetFormatPr baseColWidth="10" defaultRowHeight="15" outlineLevelRow="1" outlineLevelCol="1" x14ac:dyDescent="0.25"/>
  <cols>
    <col min="1" max="1" width="3.140625" style="466" customWidth="1"/>
    <col min="2" max="2" width="39.7109375" style="466" bestFit="1" customWidth="1"/>
    <col min="3" max="3" width="10" style="466" customWidth="1"/>
    <col min="4" max="4" width="27.5703125" style="466" customWidth="1"/>
    <col min="5" max="5" width="4.140625" style="466" customWidth="1"/>
    <col min="6" max="6" width="13.140625" style="466" customWidth="1" outlineLevel="1"/>
    <col min="7" max="7" width="23.85546875" style="466" customWidth="1"/>
    <col min="8" max="8" width="17.42578125" style="466" customWidth="1" outlineLevel="1"/>
    <col min="9" max="9" width="19.28515625" style="466" customWidth="1"/>
    <col min="10" max="10" width="14.140625" style="466" hidden="1" customWidth="1" outlineLevel="1"/>
    <col min="11" max="11" width="19.28515625" style="466" customWidth="1" collapsed="1"/>
    <col min="12" max="12" width="15" style="466" hidden="1" customWidth="1" outlineLevel="1"/>
    <col min="13" max="13" width="11.42578125" style="466" customWidth="1" collapsed="1"/>
    <col min="14" max="14" width="12" style="466" bestFit="1" customWidth="1"/>
    <col min="15" max="15" width="4.5703125" style="466" customWidth="1"/>
    <col min="16" max="16" width="12.7109375" style="466" bestFit="1" customWidth="1"/>
    <col min="17" max="17" width="30.85546875" style="466" customWidth="1"/>
    <col min="18" max="18" width="27.140625" style="466" customWidth="1"/>
    <col min="19" max="23" width="11.42578125" style="466"/>
    <col min="24" max="24" width="14.7109375" style="466" customWidth="1"/>
    <col min="25" max="25" width="16.28515625" style="466" customWidth="1"/>
    <col min="26" max="16384" width="11.42578125" style="466"/>
  </cols>
  <sheetData>
    <row r="1" spans="1:26" x14ac:dyDescent="0.25">
      <c r="A1" s="462"/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4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</row>
    <row r="2" spans="1:26" ht="31.5" x14ac:dyDescent="0.5">
      <c r="A2" s="467"/>
      <c r="B2" s="468" t="s">
        <v>217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70"/>
      <c r="P2" s="465"/>
      <c r="Q2" s="468" t="s">
        <v>218</v>
      </c>
      <c r="R2" s="465"/>
      <c r="S2" s="465"/>
      <c r="T2" s="465"/>
      <c r="U2" s="465"/>
      <c r="V2" s="465"/>
      <c r="W2" s="465"/>
      <c r="X2" s="465"/>
      <c r="Y2" s="465"/>
      <c r="Z2" s="465"/>
    </row>
    <row r="3" spans="1:26" x14ac:dyDescent="0.25">
      <c r="A3" s="467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70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</row>
    <row r="4" spans="1:26" x14ac:dyDescent="0.25">
      <c r="A4" s="467"/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70"/>
      <c r="P4" s="465"/>
      <c r="Q4" s="471"/>
      <c r="R4" s="471"/>
      <c r="S4" s="471"/>
      <c r="T4" s="465"/>
      <c r="U4" s="465"/>
      <c r="V4" s="465"/>
      <c r="W4" s="465"/>
      <c r="X4" s="465"/>
      <c r="Y4" s="465"/>
      <c r="Z4" s="465"/>
    </row>
    <row r="5" spans="1:26" x14ac:dyDescent="0.25">
      <c r="A5" s="467"/>
      <c r="B5" s="472" t="s">
        <v>219</v>
      </c>
      <c r="C5" s="732" t="str">
        <f>'Vorkalkulation_% GKZ'!G12</f>
        <v>Geisteswissenschaften</v>
      </c>
      <c r="D5" s="733"/>
      <c r="E5" s="473"/>
      <c r="F5" s="469"/>
      <c r="G5" s="469" t="s">
        <v>220</v>
      </c>
      <c r="H5" s="469"/>
      <c r="I5" s="469"/>
      <c r="J5" s="469"/>
      <c r="K5" s="469"/>
      <c r="L5" s="469"/>
      <c r="M5" s="469"/>
      <c r="N5" s="469"/>
      <c r="O5" s="470"/>
      <c r="P5" s="465"/>
      <c r="Q5" s="474"/>
      <c r="R5" s="475"/>
      <c r="S5" s="474"/>
      <c r="T5" s="465"/>
      <c r="U5" s="465"/>
      <c r="V5" s="465"/>
      <c r="W5" s="465"/>
      <c r="X5" s="465"/>
      <c r="Y5" s="465"/>
      <c r="Z5" s="465"/>
    </row>
    <row r="6" spans="1:26" x14ac:dyDescent="0.25">
      <c r="A6" s="467"/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70"/>
      <c r="P6" s="465"/>
      <c r="Q6" s="471"/>
      <c r="R6" s="471"/>
      <c r="S6" s="471"/>
      <c r="T6" s="465"/>
      <c r="U6" s="465"/>
      <c r="V6" s="465"/>
      <c r="W6" s="465"/>
      <c r="X6" s="465"/>
      <c r="Y6" s="465"/>
      <c r="Z6" s="465"/>
    </row>
    <row r="7" spans="1:26" x14ac:dyDescent="0.25">
      <c r="A7" s="467"/>
      <c r="B7" s="472" t="s">
        <v>221</v>
      </c>
      <c r="C7" s="722" t="s">
        <v>222</v>
      </c>
      <c r="D7" s="722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70"/>
      <c r="P7" s="465"/>
      <c r="Q7" s="476"/>
      <c r="R7" s="471"/>
      <c r="S7" s="471"/>
      <c r="T7" s="465"/>
      <c r="U7" s="465"/>
      <c r="V7" s="465"/>
      <c r="W7" s="465"/>
      <c r="X7" s="465"/>
      <c r="Y7" s="465"/>
      <c r="Z7" s="465"/>
    </row>
    <row r="8" spans="1:26" x14ac:dyDescent="0.25">
      <c r="A8" s="467"/>
      <c r="B8" s="469" t="s">
        <v>223</v>
      </c>
      <c r="C8" s="731">
        <f>IF(C5="Geisteswissenschaften",100%,"0")</f>
        <v>1</v>
      </c>
      <c r="D8" s="731"/>
      <c r="E8" s="469"/>
      <c r="F8" s="469"/>
      <c r="G8" s="469" t="s">
        <v>224</v>
      </c>
      <c r="H8" s="469"/>
      <c r="I8" s="469"/>
      <c r="J8" s="469"/>
      <c r="K8" s="469"/>
      <c r="L8" s="469"/>
      <c r="M8" s="469"/>
      <c r="N8" s="469"/>
      <c r="O8" s="470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5"/>
    </row>
    <row r="9" spans="1:26" x14ac:dyDescent="0.25">
      <c r="A9" s="467"/>
      <c r="B9" s="469" t="s">
        <v>225</v>
      </c>
      <c r="C9" s="731"/>
      <c r="D9" s="731"/>
      <c r="E9" s="469"/>
      <c r="F9" s="469"/>
      <c r="G9" s="477" t="str">
        <f>IF(SUM(C8:D11)&lt;&gt;100%,"Wert muss 100% ergeben!","")</f>
        <v/>
      </c>
      <c r="H9" s="469"/>
      <c r="I9" s="469"/>
      <c r="J9" s="469"/>
      <c r="K9" s="469"/>
      <c r="L9" s="469"/>
      <c r="M9" s="469"/>
      <c r="N9" s="469"/>
      <c r="O9" s="470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</row>
    <row r="10" spans="1:26" x14ac:dyDescent="0.25">
      <c r="A10" s="467"/>
      <c r="B10" s="469" t="s">
        <v>226</v>
      </c>
      <c r="C10" s="731"/>
      <c r="D10" s="731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70"/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</row>
    <row r="11" spans="1:26" x14ac:dyDescent="0.25">
      <c r="A11" s="467"/>
      <c r="B11" s="469" t="s">
        <v>227</v>
      </c>
      <c r="C11" s="731" t="str">
        <f>IF(C5&lt;&gt;"Geisteswissenschaften",100%,"0")</f>
        <v>0</v>
      </c>
      <c r="D11" s="731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70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</row>
    <row r="12" spans="1:26" x14ac:dyDescent="0.25">
      <c r="A12" s="467"/>
      <c r="B12" s="469"/>
      <c r="C12" s="728"/>
      <c r="D12" s="728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70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</row>
    <row r="13" spans="1:26" x14ac:dyDescent="0.25">
      <c r="A13" s="467"/>
      <c r="B13" s="469"/>
      <c r="C13" s="478"/>
      <c r="D13" s="478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70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</row>
    <row r="14" spans="1:26" x14ac:dyDescent="0.25">
      <c r="A14" s="467"/>
      <c r="B14" s="479" t="s">
        <v>228</v>
      </c>
      <c r="C14" s="480"/>
      <c r="D14" s="480"/>
      <c r="E14" s="470"/>
      <c r="F14" s="729" t="s">
        <v>229</v>
      </c>
      <c r="G14" s="730"/>
      <c r="H14" s="729" t="s">
        <v>230</v>
      </c>
      <c r="I14" s="730"/>
      <c r="J14" s="729" t="s">
        <v>231</v>
      </c>
      <c r="K14" s="730"/>
      <c r="L14" s="720" t="s">
        <v>232</v>
      </c>
      <c r="M14" s="726" t="s">
        <v>233</v>
      </c>
      <c r="N14" s="720" t="s">
        <v>234</v>
      </c>
      <c r="O14" s="470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</row>
    <row r="15" spans="1:26" ht="16.5" customHeight="1" thickBot="1" x14ac:dyDescent="0.3">
      <c r="A15" s="467"/>
      <c r="B15" s="472" t="s">
        <v>235</v>
      </c>
      <c r="C15" s="722" t="s">
        <v>236</v>
      </c>
      <c r="D15" s="722"/>
      <c r="E15" s="470"/>
      <c r="F15" s="481" t="s">
        <v>237</v>
      </c>
      <c r="G15" s="482" t="s">
        <v>238</v>
      </c>
      <c r="H15" s="481" t="s">
        <v>237</v>
      </c>
      <c r="I15" s="482" t="s">
        <v>238</v>
      </c>
      <c r="J15" s="481" t="s">
        <v>237</v>
      </c>
      <c r="K15" s="482" t="s">
        <v>238</v>
      </c>
      <c r="L15" s="721"/>
      <c r="M15" s="727"/>
      <c r="N15" s="721"/>
      <c r="O15" s="470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</row>
    <row r="16" spans="1:26" ht="15" customHeight="1" x14ac:dyDescent="0.25">
      <c r="A16" s="467"/>
      <c r="B16" s="469" t="s">
        <v>239</v>
      </c>
      <c r="C16" s="712" t="s">
        <v>240</v>
      </c>
      <c r="D16" s="483">
        <v>1</v>
      </c>
      <c r="E16" s="470"/>
      <c r="F16" s="484">
        <v>24</v>
      </c>
      <c r="G16" s="485">
        <f>D16*F16</f>
        <v>24</v>
      </c>
      <c r="H16" s="486"/>
      <c r="I16" s="487"/>
      <c r="J16" s="486"/>
      <c r="K16" s="487"/>
      <c r="L16" s="488">
        <f>+G16+I16+K16</f>
        <v>24</v>
      </c>
      <c r="M16" s="488">
        <v>1</v>
      </c>
      <c r="N16" s="488">
        <f>L16*M16</f>
        <v>24</v>
      </c>
      <c r="O16" s="470"/>
      <c r="P16" s="465"/>
      <c r="Q16" s="489" t="s">
        <v>40</v>
      </c>
      <c r="R16" s="212"/>
      <c r="S16" s="724" t="s">
        <v>241</v>
      </c>
      <c r="T16" s="725" t="s">
        <v>242</v>
      </c>
      <c r="U16" s="710" t="s">
        <v>19</v>
      </c>
      <c r="V16" s="706"/>
      <c r="W16" s="708" t="s">
        <v>42</v>
      </c>
      <c r="X16" s="710" t="s">
        <v>243</v>
      </c>
      <c r="Y16" s="490" t="s">
        <v>244</v>
      </c>
      <c r="Z16" s="465"/>
    </row>
    <row r="17" spans="1:26" ht="15.75" customHeight="1" x14ac:dyDescent="0.25">
      <c r="A17" s="467"/>
      <c r="B17" s="469" t="s">
        <v>245</v>
      </c>
      <c r="C17" s="723"/>
      <c r="D17" s="483">
        <v>1</v>
      </c>
      <c r="E17" s="470"/>
      <c r="F17" s="484">
        <v>18</v>
      </c>
      <c r="G17" s="485">
        <f>D17*F17</f>
        <v>18</v>
      </c>
      <c r="H17" s="486"/>
      <c r="I17" s="487"/>
      <c r="J17" s="486"/>
      <c r="K17" s="487"/>
      <c r="L17" s="488">
        <f t="shared" ref="L17:L34" si="0">+G17+I17+K17</f>
        <v>18</v>
      </c>
      <c r="M17" s="488">
        <v>1</v>
      </c>
      <c r="N17" s="488">
        <f>L17*M17</f>
        <v>18</v>
      </c>
      <c r="O17" s="470"/>
      <c r="P17" s="465"/>
      <c r="Q17" s="491"/>
      <c r="R17" s="492"/>
      <c r="S17" s="724"/>
      <c r="T17" s="715"/>
      <c r="U17" s="717"/>
      <c r="V17" s="707"/>
      <c r="W17" s="709"/>
      <c r="X17" s="711"/>
      <c r="Y17" s="493" t="s">
        <v>246</v>
      </c>
      <c r="Z17" s="465"/>
    </row>
    <row r="18" spans="1:26" ht="15.75" customHeight="1" x14ac:dyDescent="0.25">
      <c r="A18" s="467"/>
      <c r="B18" s="469" t="s">
        <v>247</v>
      </c>
      <c r="C18" s="713"/>
      <c r="D18" s="483">
        <v>1</v>
      </c>
      <c r="E18" s="470"/>
      <c r="F18" s="484">
        <v>6</v>
      </c>
      <c r="G18" s="485">
        <f>D18*F18/2</f>
        <v>3</v>
      </c>
      <c r="H18" s="486"/>
      <c r="I18" s="487"/>
      <c r="J18" s="486"/>
      <c r="K18" s="487"/>
      <c r="L18" s="488">
        <f t="shared" si="0"/>
        <v>3</v>
      </c>
      <c r="M18" s="488">
        <v>1</v>
      </c>
      <c r="N18" s="488">
        <f>L18*M18</f>
        <v>3</v>
      </c>
      <c r="O18" s="470"/>
      <c r="P18" s="465"/>
      <c r="Q18" s="494"/>
      <c r="R18" s="140" t="s">
        <v>248</v>
      </c>
      <c r="S18" s="495" t="str">
        <f>IF(T18&gt;0,1,"")</f>
        <v/>
      </c>
      <c r="T18" s="496">
        <f>'Vorkalkulation_% GKZ'!H52</f>
        <v>0</v>
      </c>
      <c r="U18" s="497">
        <f>+'Vorkalkulation_% GKZ'!I52</f>
        <v>0</v>
      </c>
      <c r="V18" s="498"/>
      <c r="W18" s="499">
        <f>+U18</f>
        <v>0</v>
      </c>
      <c r="X18" s="500">
        <f>+N21</f>
        <v>9</v>
      </c>
      <c r="Y18" s="501">
        <f>+W18*X18*T18</f>
        <v>0</v>
      </c>
      <c r="Z18" s="465"/>
    </row>
    <row r="19" spans="1:26" ht="15.75" customHeight="1" x14ac:dyDescent="0.25">
      <c r="A19" s="467"/>
      <c r="B19" s="469"/>
      <c r="C19" s="472" t="s">
        <v>249</v>
      </c>
      <c r="D19" s="502"/>
      <c r="E19" s="470"/>
      <c r="F19" s="503"/>
      <c r="G19" s="504">
        <f>SUM(G16:G18)</f>
        <v>45</v>
      </c>
      <c r="H19" s="505"/>
      <c r="I19" s="504">
        <f>SUM(I16:I18)</f>
        <v>0</v>
      </c>
      <c r="J19" s="505"/>
      <c r="K19" s="504">
        <f>SUM(K16:K18)</f>
        <v>0</v>
      </c>
      <c r="L19" s="506">
        <f>SUM(L16:L18)</f>
        <v>45</v>
      </c>
      <c r="M19" s="506"/>
      <c r="N19" s="506">
        <f>SUM(N16:N18)</f>
        <v>45</v>
      </c>
      <c r="O19" s="470"/>
      <c r="P19" s="465"/>
      <c r="Q19" s="494"/>
      <c r="R19" s="140" t="s">
        <v>250</v>
      </c>
      <c r="S19" s="495" t="str">
        <f>IF(T19&gt;0,1,"")</f>
        <v/>
      </c>
      <c r="T19" s="496">
        <f>+'Vorkalkulation_% GKZ'!H53</f>
        <v>0</v>
      </c>
      <c r="U19" s="497">
        <f>+'Vorkalkulation_% GKZ'!I53</f>
        <v>0</v>
      </c>
      <c r="V19" s="498"/>
      <c r="W19" s="499">
        <f>+U19</f>
        <v>0</v>
      </c>
      <c r="X19" s="500">
        <f>+N21</f>
        <v>9</v>
      </c>
      <c r="Y19" s="501">
        <f>+W19*X19*T19</f>
        <v>0</v>
      </c>
      <c r="Z19" s="465"/>
    </row>
    <row r="20" spans="1:26" ht="15.75" customHeight="1" x14ac:dyDescent="0.25">
      <c r="A20" s="467"/>
      <c r="B20" s="472" t="s">
        <v>251</v>
      </c>
      <c r="C20" s="472"/>
      <c r="D20" s="502"/>
      <c r="E20" s="470"/>
      <c r="F20" s="484"/>
      <c r="G20" s="485"/>
      <c r="H20" s="486"/>
      <c r="I20" s="487"/>
      <c r="J20" s="486"/>
      <c r="K20" s="487"/>
      <c r="L20" s="488"/>
      <c r="M20" s="488"/>
      <c r="N20" s="488"/>
      <c r="O20" s="470"/>
      <c r="P20" s="465"/>
      <c r="Q20" s="494"/>
      <c r="R20" s="140" t="s">
        <v>252</v>
      </c>
      <c r="S20" s="495" t="str">
        <f>IF(T20&gt;0,1,"")</f>
        <v/>
      </c>
      <c r="T20" s="496">
        <f>+'Vorkalkulation_% GKZ'!H54</f>
        <v>0</v>
      </c>
      <c r="U20" s="497">
        <f>+'Vorkalkulation_% GKZ'!I54</f>
        <v>0</v>
      </c>
      <c r="V20" s="498"/>
      <c r="W20" s="499">
        <f>+U20</f>
        <v>0</v>
      </c>
      <c r="X20" s="500">
        <f>+N21</f>
        <v>9</v>
      </c>
      <c r="Y20" s="501">
        <f>+W20*X20*T20</f>
        <v>0</v>
      </c>
      <c r="Z20" s="465"/>
    </row>
    <row r="21" spans="1:26" ht="15.75" customHeight="1" x14ac:dyDescent="0.25">
      <c r="A21" s="467"/>
      <c r="B21" s="469" t="s">
        <v>253</v>
      </c>
      <c r="C21" s="712" t="s">
        <v>240</v>
      </c>
      <c r="D21" s="483">
        <v>1</v>
      </c>
      <c r="E21" s="470"/>
      <c r="F21" s="484">
        <v>9</v>
      </c>
      <c r="G21" s="485">
        <f>D21*F21</f>
        <v>9</v>
      </c>
      <c r="H21" s="484">
        <f>IF(C5="Geisteswissenschaften",0,18)</f>
        <v>0</v>
      </c>
      <c r="I21" s="485">
        <f>D21*H21</f>
        <v>0</v>
      </c>
      <c r="J21" s="486"/>
      <c r="K21" s="487"/>
      <c r="L21" s="488">
        <f t="shared" si="0"/>
        <v>9</v>
      </c>
      <c r="M21" s="488">
        <v>1.7</v>
      </c>
      <c r="N21" s="488">
        <f>+G21*1+I21*M21</f>
        <v>9</v>
      </c>
      <c r="O21" s="470"/>
      <c r="P21" s="465"/>
      <c r="Q21" s="491"/>
      <c r="R21" s="492"/>
      <c r="S21" s="492"/>
      <c r="T21" s="714" t="s">
        <v>49</v>
      </c>
      <c r="U21" s="716" t="s">
        <v>50</v>
      </c>
      <c r="V21" s="718" t="s">
        <v>254</v>
      </c>
      <c r="W21" s="719" t="s">
        <v>42</v>
      </c>
      <c r="X21" s="711" t="s">
        <v>243</v>
      </c>
      <c r="Y21" s="501"/>
      <c r="Z21" s="465"/>
    </row>
    <row r="22" spans="1:26" ht="15.75" customHeight="1" x14ac:dyDescent="0.25">
      <c r="A22" s="467"/>
      <c r="B22" s="469" t="s">
        <v>255</v>
      </c>
      <c r="C22" s="713"/>
      <c r="D22" s="483">
        <v>1</v>
      </c>
      <c r="E22" s="470"/>
      <c r="F22" s="484">
        <v>6</v>
      </c>
      <c r="G22" s="485">
        <f>D22*F22/2</f>
        <v>3</v>
      </c>
      <c r="H22" s="486"/>
      <c r="I22" s="487"/>
      <c r="J22" s="486"/>
      <c r="K22" s="487"/>
      <c r="L22" s="488">
        <f t="shared" si="0"/>
        <v>3</v>
      </c>
      <c r="M22" s="488">
        <v>1</v>
      </c>
      <c r="N22" s="488">
        <f>+L22*M22</f>
        <v>3</v>
      </c>
      <c r="O22" s="470"/>
      <c r="P22" s="465"/>
      <c r="Q22" s="494"/>
      <c r="R22" s="465"/>
      <c r="S22" s="465"/>
      <c r="T22" s="715"/>
      <c r="U22" s="717"/>
      <c r="V22" s="718"/>
      <c r="W22" s="719"/>
      <c r="X22" s="711"/>
      <c r="Y22" s="501"/>
      <c r="Z22" s="465"/>
    </row>
    <row r="23" spans="1:26" x14ac:dyDescent="0.25">
      <c r="A23" s="467"/>
      <c r="B23" s="469"/>
      <c r="C23" s="472" t="s">
        <v>249</v>
      </c>
      <c r="D23" s="502"/>
      <c r="E23" s="470"/>
      <c r="F23" s="505"/>
      <c r="G23" s="504">
        <f>SUM(G21:G22)</f>
        <v>12</v>
      </c>
      <c r="H23" s="505"/>
      <c r="I23" s="504">
        <f>SUM(I21:I22)</f>
        <v>0</v>
      </c>
      <c r="J23" s="505"/>
      <c r="K23" s="504">
        <f>SUM(K21:K22)</f>
        <v>0</v>
      </c>
      <c r="L23" s="506">
        <f t="shared" si="0"/>
        <v>12</v>
      </c>
      <c r="M23" s="506"/>
      <c r="N23" s="506">
        <f>SUM(N20:N22)</f>
        <v>12</v>
      </c>
      <c r="O23" s="470"/>
      <c r="P23" s="465"/>
      <c r="Q23" s="494"/>
      <c r="R23" s="140" t="s">
        <v>53</v>
      </c>
      <c r="S23" s="495" t="str">
        <f>IF(T23&gt;0,1,"")</f>
        <v/>
      </c>
      <c r="T23" s="507">
        <f>+'Vorkalkulation_% GKZ'!H56</f>
        <v>0</v>
      </c>
      <c r="U23" s="497">
        <f>+'Vorkalkulation_% GKZ'!I56</f>
        <v>0</v>
      </c>
      <c r="V23" s="498">
        <f>+T23*U23</f>
        <v>0</v>
      </c>
      <c r="W23" s="508">
        <f>+V23/160</f>
        <v>0</v>
      </c>
      <c r="X23" s="500">
        <f>+N22</f>
        <v>3</v>
      </c>
      <c r="Y23" s="501">
        <f>+X23*W23</f>
        <v>0</v>
      </c>
      <c r="Z23" s="465"/>
    </row>
    <row r="24" spans="1:26" x14ac:dyDescent="0.25">
      <c r="A24" s="467"/>
      <c r="B24" s="472" t="s">
        <v>256</v>
      </c>
      <c r="C24" s="469"/>
      <c r="D24" s="502"/>
      <c r="E24" s="470"/>
      <c r="F24" s="484"/>
      <c r="G24" s="485"/>
      <c r="H24" s="486"/>
      <c r="I24" s="487"/>
      <c r="J24" s="486"/>
      <c r="K24" s="487"/>
      <c r="L24" s="488">
        <f t="shared" si="0"/>
        <v>0</v>
      </c>
      <c r="M24" s="488"/>
      <c r="N24" s="488">
        <f>+L24*M24</f>
        <v>0</v>
      </c>
      <c r="O24" s="470"/>
      <c r="P24" s="465"/>
      <c r="Q24" s="465"/>
      <c r="R24" s="140" t="s">
        <v>54</v>
      </c>
      <c r="S24" s="495" t="str">
        <f>IF(T24&gt;0,1,"")</f>
        <v/>
      </c>
      <c r="T24" s="507">
        <f>+'Vorkalkulation_% GKZ'!H57</f>
        <v>0</v>
      </c>
      <c r="U24" s="497">
        <f>+'Vorkalkulation_% GKZ'!I57</f>
        <v>0</v>
      </c>
      <c r="V24" s="498">
        <f>+T24*U24</f>
        <v>0</v>
      </c>
      <c r="W24" s="508">
        <f>+V24/160</f>
        <v>0</v>
      </c>
      <c r="X24" s="500">
        <f>+N22</f>
        <v>3</v>
      </c>
      <c r="Y24" s="501">
        <f>+X24*W24</f>
        <v>0</v>
      </c>
      <c r="Z24" s="465"/>
    </row>
    <row r="25" spans="1:26" x14ac:dyDescent="0.25">
      <c r="A25" s="467"/>
      <c r="B25" s="469" t="s">
        <v>257</v>
      </c>
      <c r="C25" s="509" t="s">
        <v>258</v>
      </c>
      <c r="D25" s="510">
        <f>+D16+D17+D21</f>
        <v>3</v>
      </c>
      <c r="E25" s="470"/>
      <c r="F25" s="484">
        <v>1</v>
      </c>
      <c r="G25" s="485">
        <f>ROUND((D25*F25),0)</f>
        <v>3</v>
      </c>
      <c r="H25" s="486"/>
      <c r="I25" s="487"/>
      <c r="J25" s="486"/>
      <c r="K25" s="487"/>
      <c r="L25" s="488">
        <f t="shared" si="0"/>
        <v>3</v>
      </c>
      <c r="M25" s="488">
        <v>0.9</v>
      </c>
      <c r="N25" s="488">
        <f>+L25*M25</f>
        <v>2.7</v>
      </c>
      <c r="O25" s="470"/>
      <c r="P25" s="465"/>
      <c r="Q25" s="465"/>
      <c r="R25" s="465"/>
      <c r="S25" s="465"/>
      <c r="T25" s="511"/>
      <c r="U25" s="469"/>
      <c r="V25" s="469"/>
      <c r="W25" s="469"/>
      <c r="X25" s="469"/>
      <c r="Y25" s="501"/>
      <c r="Z25" s="465"/>
    </row>
    <row r="26" spans="1:26" x14ac:dyDescent="0.25">
      <c r="A26" s="467"/>
      <c r="B26" s="469" t="s">
        <v>259</v>
      </c>
      <c r="C26" s="512" t="s">
        <v>260</v>
      </c>
      <c r="D26" s="510">
        <f>+D16</f>
        <v>1</v>
      </c>
      <c r="E26" s="470"/>
      <c r="F26" s="486"/>
      <c r="G26" s="487"/>
      <c r="H26" s="486"/>
      <c r="I26" s="487"/>
      <c r="J26" s="484">
        <v>8</v>
      </c>
      <c r="K26" s="485">
        <f>D26*J26</f>
        <v>8</v>
      </c>
      <c r="L26" s="488">
        <f t="shared" si="0"/>
        <v>8</v>
      </c>
      <c r="M26" s="488">
        <v>1</v>
      </c>
      <c r="N26" s="488">
        <f>+L26*M26</f>
        <v>8</v>
      </c>
      <c r="O26" s="470"/>
      <c r="P26" s="465"/>
      <c r="Q26" s="513" t="s">
        <v>55</v>
      </c>
      <c r="R26" s="494"/>
      <c r="S26" s="494"/>
      <c r="T26" s="514"/>
      <c r="U26" s="299"/>
      <c r="V26" s="469"/>
      <c r="W26" s="469"/>
      <c r="X26" s="469"/>
      <c r="Y26" s="501"/>
      <c r="Z26" s="465"/>
    </row>
    <row r="27" spans="1:26" ht="25.5" x14ac:dyDescent="0.25">
      <c r="A27" s="467"/>
      <c r="B27" s="469" t="s">
        <v>261</v>
      </c>
      <c r="C27" s="515" t="s">
        <v>262</v>
      </c>
      <c r="D27" s="510">
        <f>+D16+D17+D21</f>
        <v>3</v>
      </c>
      <c r="E27" s="470"/>
      <c r="F27" s="484">
        <v>1</v>
      </c>
      <c r="G27" s="485">
        <f>ROUND((D27*F27),0)</f>
        <v>3</v>
      </c>
      <c r="H27" s="486"/>
      <c r="I27" s="487"/>
      <c r="J27" s="486"/>
      <c r="K27" s="487"/>
      <c r="L27" s="488">
        <f t="shared" si="0"/>
        <v>3</v>
      </c>
      <c r="M27" s="488">
        <v>1.3</v>
      </c>
      <c r="N27" s="488">
        <f>+L27*M27</f>
        <v>3.9000000000000004</v>
      </c>
      <c r="O27" s="470"/>
      <c r="P27" s="465"/>
      <c r="Q27" s="491"/>
      <c r="R27" s="492"/>
      <c r="S27" s="492"/>
      <c r="T27" s="516" t="s">
        <v>49</v>
      </c>
      <c r="U27" s="517" t="s">
        <v>50</v>
      </c>
      <c r="V27" s="469" t="s">
        <v>254</v>
      </c>
      <c r="W27" s="518" t="s">
        <v>42</v>
      </c>
      <c r="X27" s="519" t="s">
        <v>243</v>
      </c>
      <c r="Y27" s="501"/>
      <c r="Z27" s="465"/>
    </row>
    <row r="28" spans="1:26" x14ac:dyDescent="0.25">
      <c r="A28" s="467"/>
      <c r="B28" s="469"/>
      <c r="C28" s="472" t="s">
        <v>249</v>
      </c>
      <c r="D28" s="502"/>
      <c r="E28" s="470"/>
      <c r="F28" s="505"/>
      <c r="G28" s="504">
        <f>SUM(G25:G27)</f>
        <v>6</v>
      </c>
      <c r="H28" s="505"/>
      <c r="I28" s="504">
        <f>SUM(I25:I27)</f>
        <v>0</v>
      </c>
      <c r="J28" s="505"/>
      <c r="K28" s="504">
        <f>SUM(K25:K27)</f>
        <v>8</v>
      </c>
      <c r="L28" s="506">
        <f t="shared" si="0"/>
        <v>14</v>
      </c>
      <c r="M28" s="506"/>
      <c r="N28" s="506">
        <f>SUM(N24:N27)</f>
        <v>14.6</v>
      </c>
      <c r="O28" s="470"/>
      <c r="P28" s="465"/>
      <c r="Q28" s="494"/>
      <c r="R28" s="140" t="s">
        <v>56</v>
      </c>
      <c r="S28" s="495" t="str">
        <f>IF(T28&gt;0,1,"")</f>
        <v/>
      </c>
      <c r="T28" s="507">
        <f>+'Vorkalkulation_% GKZ'!H62</f>
        <v>0</v>
      </c>
      <c r="U28" s="497">
        <f>+'Vorkalkulation_% GKZ'!I62</f>
        <v>0</v>
      </c>
      <c r="V28" s="498">
        <f>+T28*U28</f>
        <v>0</v>
      </c>
      <c r="W28" s="520">
        <f>+V28/160</f>
        <v>0</v>
      </c>
      <c r="X28" s="521">
        <f>+N16</f>
        <v>24</v>
      </c>
      <c r="Y28" s="501">
        <f>+X28*W28</f>
        <v>0</v>
      </c>
      <c r="Z28" s="465"/>
    </row>
    <row r="29" spans="1:26" x14ac:dyDescent="0.25">
      <c r="A29" s="467"/>
      <c r="B29" s="472" t="s">
        <v>263</v>
      </c>
      <c r="C29" s="469"/>
      <c r="D29" s="502"/>
      <c r="E29" s="470"/>
      <c r="F29" s="484"/>
      <c r="G29" s="485"/>
      <c r="H29" s="486"/>
      <c r="I29" s="487"/>
      <c r="J29" s="486"/>
      <c r="K29" s="487"/>
      <c r="L29" s="488"/>
      <c r="M29" s="488"/>
      <c r="N29" s="488"/>
      <c r="O29" s="470"/>
      <c r="P29" s="465"/>
      <c r="Q29" s="494"/>
      <c r="R29" s="140" t="s">
        <v>264</v>
      </c>
      <c r="S29" s="495" t="str">
        <f>IF(T29&gt;0,1,"")</f>
        <v/>
      </c>
      <c r="T29" s="507">
        <f>+'Vorkalkulation_% GKZ'!H63</f>
        <v>0</v>
      </c>
      <c r="U29" s="497">
        <f>+'Vorkalkulation_% GKZ'!I63</f>
        <v>0</v>
      </c>
      <c r="V29" s="498">
        <f>+T29*U29</f>
        <v>0</v>
      </c>
      <c r="W29" s="520">
        <f>+V29/160</f>
        <v>0</v>
      </c>
      <c r="X29" s="500">
        <f>+N17</f>
        <v>18</v>
      </c>
      <c r="Y29" s="501">
        <f>+X29*W29</f>
        <v>0</v>
      </c>
      <c r="Z29" s="465"/>
    </row>
    <row r="30" spans="1:26" x14ac:dyDescent="0.25">
      <c r="A30" s="467"/>
      <c r="B30" s="469" t="s">
        <v>265</v>
      </c>
      <c r="C30" s="509" t="s">
        <v>266</v>
      </c>
      <c r="D30" s="510">
        <f>+D16*500</f>
        <v>500</v>
      </c>
      <c r="E30" s="470"/>
      <c r="F30" s="484">
        <v>6.0000000000000001E-3</v>
      </c>
      <c r="G30" s="485">
        <f>+D30*F30</f>
        <v>3</v>
      </c>
      <c r="H30" s="486"/>
      <c r="I30" s="487"/>
      <c r="J30" s="486"/>
      <c r="K30" s="487"/>
      <c r="L30" s="488">
        <f t="shared" si="0"/>
        <v>3</v>
      </c>
      <c r="M30" s="488">
        <v>1</v>
      </c>
      <c r="N30" s="488">
        <f>+L30*M30</f>
        <v>3</v>
      </c>
      <c r="O30" s="470"/>
      <c r="P30" s="465"/>
      <c r="Q30" s="494"/>
      <c r="R30" s="140" t="s">
        <v>267</v>
      </c>
      <c r="S30" s="495" t="str">
        <f>IF(T30&gt;0,1,"")</f>
        <v/>
      </c>
      <c r="T30" s="507">
        <f>+'Vorkalkulation_% GKZ'!H64</f>
        <v>0</v>
      </c>
      <c r="U30" s="497">
        <f>+'Vorkalkulation_% GKZ'!I64</f>
        <v>0</v>
      </c>
      <c r="V30" s="498">
        <f>+T30*U30</f>
        <v>0</v>
      </c>
      <c r="W30" s="520">
        <f>+V30/160</f>
        <v>0</v>
      </c>
      <c r="X30" s="500">
        <f>+N17</f>
        <v>18</v>
      </c>
      <c r="Y30" s="501">
        <f>+X30*W30</f>
        <v>0</v>
      </c>
      <c r="Z30" s="465"/>
    </row>
    <row r="31" spans="1:26" x14ac:dyDescent="0.25">
      <c r="A31" s="467"/>
      <c r="B31" s="469" t="s">
        <v>268</v>
      </c>
      <c r="C31" s="512" t="s">
        <v>269</v>
      </c>
      <c r="D31" s="522">
        <v>0.2</v>
      </c>
      <c r="E31" s="470"/>
      <c r="F31" s="486"/>
      <c r="G31" s="487"/>
      <c r="H31" s="486"/>
      <c r="I31" s="485">
        <f>ROUND((I19+I23+I28)*D31,0)</f>
        <v>0</v>
      </c>
      <c r="J31" s="486"/>
      <c r="K31" s="487"/>
      <c r="L31" s="488">
        <f>ROUND(+G31+I31+K31,0)</f>
        <v>0</v>
      </c>
      <c r="M31" s="488">
        <v>1</v>
      </c>
      <c r="N31" s="488">
        <f>+L31*M31</f>
        <v>0</v>
      </c>
      <c r="O31" s="470"/>
      <c r="P31" s="465"/>
      <c r="Q31" s="494"/>
      <c r="R31" s="140" t="s">
        <v>53</v>
      </c>
      <c r="S31" s="495" t="str">
        <f>IF(T31&gt;0,1,"")</f>
        <v/>
      </c>
      <c r="T31" s="507">
        <f>+'Vorkalkulation_% GKZ'!H65</f>
        <v>0</v>
      </c>
      <c r="U31" s="497">
        <f>+'Vorkalkulation_% GKZ'!I65</f>
        <v>0</v>
      </c>
      <c r="V31" s="498">
        <f>+T31*U31</f>
        <v>0</v>
      </c>
      <c r="W31" s="520">
        <f>+V31/160</f>
        <v>0</v>
      </c>
      <c r="X31" s="500">
        <f>+N18</f>
        <v>3</v>
      </c>
      <c r="Y31" s="501">
        <f>+X31*W31</f>
        <v>0</v>
      </c>
      <c r="Z31" s="465"/>
    </row>
    <row r="32" spans="1:26" ht="15.75" thickBot="1" x14ac:dyDescent="0.3">
      <c r="A32" s="467"/>
      <c r="B32" s="469" t="s">
        <v>270</v>
      </c>
      <c r="C32" s="512" t="s">
        <v>271</v>
      </c>
      <c r="D32" s="523">
        <v>0</v>
      </c>
      <c r="E32" s="470"/>
      <c r="F32" s="486"/>
      <c r="G32" s="487"/>
      <c r="H32" s="486"/>
      <c r="I32" s="487"/>
      <c r="J32" s="484">
        <v>6</v>
      </c>
      <c r="K32" s="485">
        <f>D32*J32</f>
        <v>0</v>
      </c>
      <c r="L32" s="488">
        <f t="shared" si="0"/>
        <v>0</v>
      </c>
      <c r="M32" s="488">
        <v>1</v>
      </c>
      <c r="N32" s="488">
        <f>+L32*M32</f>
        <v>0</v>
      </c>
      <c r="O32" s="470"/>
      <c r="P32" s="465"/>
      <c r="Q32" s="494"/>
      <c r="R32" s="140" t="s">
        <v>54</v>
      </c>
      <c r="S32" s="495" t="str">
        <f>IF(T32&gt;0,1,"")</f>
        <v/>
      </c>
      <c r="T32" s="524">
        <f>+'Vorkalkulation_% GKZ'!H66</f>
        <v>0</v>
      </c>
      <c r="U32" s="525">
        <f>+'Vorkalkulation_% GKZ'!I66</f>
        <v>0</v>
      </c>
      <c r="V32" s="498">
        <f>+T32*U32</f>
        <v>0</v>
      </c>
      <c r="W32" s="520">
        <f>+V32/160</f>
        <v>0</v>
      </c>
      <c r="X32" s="526">
        <f>+N18</f>
        <v>3</v>
      </c>
      <c r="Y32" s="527">
        <f>+X32*W32</f>
        <v>0</v>
      </c>
      <c r="Z32" s="465"/>
    </row>
    <row r="33" spans="1:26" ht="15.75" thickBot="1" x14ac:dyDescent="0.3">
      <c r="A33" s="467"/>
      <c r="B33" s="469" t="s">
        <v>272</v>
      </c>
      <c r="C33" s="512" t="s">
        <v>273</v>
      </c>
      <c r="D33" s="523">
        <v>0</v>
      </c>
      <c r="E33" s="470"/>
      <c r="F33" s="486"/>
      <c r="G33" s="487"/>
      <c r="H33" s="486"/>
      <c r="I33" s="487"/>
      <c r="J33" s="486"/>
      <c r="K33" s="485">
        <f>+D33</f>
        <v>0</v>
      </c>
      <c r="L33" s="488">
        <f t="shared" si="0"/>
        <v>0</v>
      </c>
      <c r="M33" s="488">
        <v>1</v>
      </c>
      <c r="N33" s="488">
        <f>+L33*M33</f>
        <v>0</v>
      </c>
      <c r="O33" s="470"/>
      <c r="P33" s="465"/>
      <c r="Q33" s="465"/>
      <c r="R33" s="465"/>
      <c r="S33" s="465"/>
      <c r="T33" s="465"/>
      <c r="U33" s="465"/>
      <c r="V33" s="465"/>
      <c r="W33" s="465"/>
      <c r="X33" s="465"/>
      <c r="Y33" s="528">
        <f>SUM(Y18:Y32)</f>
        <v>0</v>
      </c>
      <c r="Z33" s="465" t="s">
        <v>274</v>
      </c>
    </row>
    <row r="34" spans="1:26" ht="16.5" thickTop="1" thickBot="1" x14ac:dyDescent="0.3">
      <c r="A34" s="467"/>
      <c r="B34" s="469" t="s">
        <v>275</v>
      </c>
      <c r="C34" s="515" t="s">
        <v>276</v>
      </c>
      <c r="D34" s="522">
        <v>0.1</v>
      </c>
      <c r="E34" s="470"/>
      <c r="F34" s="486"/>
      <c r="G34" s="487"/>
      <c r="H34" s="486"/>
      <c r="I34" s="487"/>
      <c r="J34" s="486"/>
      <c r="K34" s="485">
        <f>ROUND((K19+K23+K28+K31+K30)*D34,0)</f>
        <v>1</v>
      </c>
      <c r="L34" s="488">
        <f t="shared" si="0"/>
        <v>1</v>
      </c>
      <c r="M34" s="488">
        <v>0.4</v>
      </c>
      <c r="N34" s="488">
        <f>+L34*M34</f>
        <v>0.4</v>
      </c>
      <c r="O34" s="470"/>
      <c r="P34" s="465"/>
      <c r="Q34" s="472" t="s">
        <v>256</v>
      </c>
      <c r="R34" s="465"/>
      <c r="S34" s="465"/>
      <c r="T34" s="465" t="s">
        <v>242</v>
      </c>
      <c r="U34" s="465" t="s">
        <v>277</v>
      </c>
      <c r="V34" s="465"/>
      <c r="W34" s="465" t="s">
        <v>277</v>
      </c>
      <c r="X34" s="465"/>
      <c r="Y34" s="465"/>
      <c r="Z34" s="465"/>
    </row>
    <row r="35" spans="1:26" x14ac:dyDescent="0.25">
      <c r="A35" s="467"/>
      <c r="B35" s="469"/>
      <c r="C35" s="472" t="s">
        <v>249</v>
      </c>
      <c r="D35" s="469"/>
      <c r="E35" s="469"/>
      <c r="F35" s="529"/>
      <c r="G35" s="530">
        <f>SUM(G30:G34)</f>
        <v>3</v>
      </c>
      <c r="H35" s="531"/>
      <c r="I35" s="530">
        <f>SUM(I30:I34)</f>
        <v>0</v>
      </c>
      <c r="J35" s="531"/>
      <c r="K35" s="530">
        <f>SUM(K30:K34)</f>
        <v>1</v>
      </c>
      <c r="L35" s="506">
        <f>SUM(L30:L34)</f>
        <v>4</v>
      </c>
      <c r="M35" s="506"/>
      <c r="N35" s="506">
        <f>SUM(N30:N34)</f>
        <v>3.4</v>
      </c>
      <c r="O35" s="470"/>
      <c r="P35" s="465"/>
      <c r="Q35" s="469" t="s">
        <v>257</v>
      </c>
      <c r="R35" s="532" t="s">
        <v>258</v>
      </c>
      <c r="S35" s="533">
        <f>SUM(S18:S22,S28,S29,S30)</f>
        <v>0</v>
      </c>
      <c r="T35" s="534" t="e">
        <f>+((T18+T19+T20)+U28/8+U29/8*U30/8)/S35</f>
        <v>#DIV/0!</v>
      </c>
      <c r="U35" s="535" t="e">
        <f>+(U18+U19+U20+W28+W29+W30)/S35</f>
        <v>#DIV/0!</v>
      </c>
      <c r="V35" s="536"/>
      <c r="W35" s="537" t="e">
        <f>+U35</f>
        <v>#DIV/0!</v>
      </c>
      <c r="X35" s="538">
        <f>+S35</f>
        <v>0</v>
      </c>
      <c r="Y35" s="539">
        <f>IF(S35=0,0,W35*X35*T35)</f>
        <v>0</v>
      </c>
      <c r="Z35" s="465"/>
    </row>
    <row r="36" spans="1:26" x14ac:dyDescent="0.25">
      <c r="A36" s="467"/>
      <c r="B36" s="469"/>
      <c r="C36" s="469"/>
      <c r="D36" s="469"/>
      <c r="E36" s="469"/>
      <c r="F36" s="473"/>
      <c r="G36" s="469"/>
      <c r="H36" s="469"/>
      <c r="I36" s="469"/>
      <c r="J36" s="469"/>
      <c r="K36" s="469"/>
      <c r="L36" s="469"/>
      <c r="M36" s="469"/>
      <c r="N36" s="469"/>
      <c r="O36" s="470"/>
      <c r="P36" s="465"/>
      <c r="Q36" s="469" t="s">
        <v>259</v>
      </c>
      <c r="R36" s="540" t="s">
        <v>260</v>
      </c>
      <c r="S36" s="541">
        <f>SUM(S28)</f>
        <v>0</v>
      </c>
      <c r="T36" s="498"/>
      <c r="U36" s="498">
        <f>+W28</f>
        <v>0</v>
      </c>
      <c r="V36" s="498"/>
      <c r="W36" s="498">
        <f>+W28</f>
        <v>0</v>
      </c>
      <c r="X36" s="498">
        <v>8</v>
      </c>
      <c r="Y36" s="542">
        <f>W36*X36*S36</f>
        <v>0</v>
      </c>
      <c r="Z36" s="465"/>
    </row>
    <row r="37" spans="1:26" ht="15.75" thickBot="1" x14ac:dyDescent="0.3">
      <c r="A37" s="467"/>
      <c r="B37" s="469"/>
      <c r="C37" s="472" t="s">
        <v>278</v>
      </c>
      <c r="D37" s="469"/>
      <c r="E37" s="470"/>
      <c r="F37" s="543"/>
      <c r="G37" s="544">
        <f>+G19+G23+G28+G35</f>
        <v>66</v>
      </c>
      <c r="H37" s="544"/>
      <c r="I37" s="544">
        <f>+I19+I23+I28+I35</f>
        <v>0</v>
      </c>
      <c r="J37" s="544"/>
      <c r="K37" s="544">
        <f>+K19+K23+K28+K35</f>
        <v>9</v>
      </c>
      <c r="L37" s="530">
        <f>+L19+L23+L28+L35</f>
        <v>75</v>
      </c>
      <c r="M37" s="530"/>
      <c r="N37" s="530">
        <f>+N19+N23+N28+N35</f>
        <v>75</v>
      </c>
      <c r="O37" s="470"/>
      <c r="P37" s="465"/>
      <c r="Q37" s="469" t="s">
        <v>261</v>
      </c>
      <c r="R37" s="545" t="s">
        <v>262</v>
      </c>
      <c r="S37" s="546">
        <f>SUM(S18,S19,S20,S28,S29,S30)</f>
        <v>0</v>
      </c>
      <c r="T37" s="547" t="e">
        <f>+((T18+T19+T20)+(U28/8+U29/8+U30/8))/S37</f>
        <v>#DIV/0!</v>
      </c>
      <c r="U37" s="548" t="e">
        <f>+U35</f>
        <v>#DIV/0!</v>
      </c>
      <c r="V37" s="549"/>
      <c r="W37" s="548" t="e">
        <f>+W35</f>
        <v>#DIV/0!</v>
      </c>
      <c r="X37" s="550">
        <f>+S37</f>
        <v>0</v>
      </c>
      <c r="Y37" s="551">
        <f>IF(S37=0,0,W37*X37*T37)</f>
        <v>0</v>
      </c>
      <c r="Z37" s="465"/>
    </row>
    <row r="38" spans="1:26" x14ac:dyDescent="0.25">
      <c r="A38" s="467"/>
      <c r="B38" s="469"/>
      <c r="C38" s="469"/>
      <c r="D38" s="469"/>
      <c r="E38" s="469"/>
      <c r="F38" s="473"/>
      <c r="G38" s="469"/>
      <c r="H38" s="469"/>
      <c r="I38" s="469"/>
      <c r="J38" s="469"/>
      <c r="K38" s="469"/>
      <c r="L38" s="469"/>
      <c r="M38" s="469"/>
      <c r="N38" s="469"/>
      <c r="O38" s="470"/>
      <c r="P38" s="465"/>
      <c r="Q38" s="465"/>
      <c r="R38" s="465"/>
      <c r="S38" s="465"/>
      <c r="T38" s="465"/>
      <c r="U38" s="465"/>
      <c r="V38" s="465"/>
      <c r="W38" s="465"/>
      <c r="X38" s="465"/>
      <c r="Y38" s="552"/>
      <c r="Z38" s="465"/>
    </row>
    <row r="39" spans="1:26" x14ac:dyDescent="0.25">
      <c r="A39" s="467"/>
      <c r="B39" s="469" t="s">
        <v>279</v>
      </c>
      <c r="C39" s="469"/>
      <c r="D39" s="469"/>
      <c r="E39" s="469"/>
      <c r="F39" s="469"/>
      <c r="G39" s="553" t="s">
        <v>280</v>
      </c>
      <c r="H39" s="554"/>
      <c r="I39" s="555">
        <f>VLOOKUP(C5,'Mieten nach Campusber.'!A:E,4,FALSE)*1.1</f>
        <v>24.565200000000008</v>
      </c>
      <c r="J39" s="554"/>
      <c r="K39" s="553" t="s">
        <v>281</v>
      </c>
      <c r="L39" s="553"/>
      <c r="M39" s="554"/>
      <c r="N39" s="556">
        <f>I39*I42</f>
        <v>1842.3900000000006</v>
      </c>
      <c r="O39" s="470"/>
      <c r="P39" s="557"/>
      <c r="Q39" s="472" t="s">
        <v>263</v>
      </c>
      <c r="R39" s="469"/>
      <c r="S39" s="502"/>
      <c r="T39" s="465"/>
      <c r="V39" s="465"/>
      <c r="W39" s="465"/>
      <c r="X39" s="465"/>
      <c r="Y39" s="552"/>
      <c r="Z39" s="465"/>
    </row>
    <row r="40" spans="1:26" ht="15.75" thickBot="1" x14ac:dyDescent="0.3">
      <c r="A40" s="467"/>
      <c r="B40" s="469" t="s">
        <v>282</v>
      </c>
      <c r="C40" s="469"/>
      <c r="D40" s="469"/>
      <c r="E40" s="469"/>
      <c r="F40" s="469"/>
      <c r="G40" s="553" t="s">
        <v>283</v>
      </c>
      <c r="H40" s="554"/>
      <c r="I40" s="555">
        <f>VLOOKUP(C5,'Mieten nach Campusber.'!A:E,5,FALSE)*1.1</f>
        <v>5.5009166666666669</v>
      </c>
      <c r="J40" s="554"/>
      <c r="K40" s="553" t="s">
        <v>284</v>
      </c>
      <c r="L40" s="553"/>
      <c r="M40" s="554"/>
      <c r="N40" s="556">
        <f>I40*I42</f>
        <v>412.56875000000002</v>
      </c>
      <c r="O40" s="470"/>
      <c r="P40" s="465"/>
      <c r="Q40" s="469"/>
      <c r="R40" s="469"/>
      <c r="S40" s="502"/>
      <c r="T40" s="469"/>
      <c r="U40" s="465" t="s">
        <v>277</v>
      </c>
      <c r="V40" s="469"/>
      <c r="W40" s="469"/>
      <c r="X40" s="469"/>
      <c r="Y40" s="558"/>
      <c r="Z40" s="465"/>
    </row>
    <row r="41" spans="1:26" x14ac:dyDescent="0.25">
      <c r="A41" s="467"/>
      <c r="B41" s="469" t="s">
        <v>285</v>
      </c>
      <c r="C41" s="469"/>
      <c r="D41" s="469"/>
      <c r="E41" s="469"/>
      <c r="F41" s="469"/>
      <c r="G41" s="554"/>
      <c r="H41" s="554"/>
      <c r="I41" s="559"/>
      <c r="J41" s="554"/>
      <c r="K41" s="553"/>
      <c r="L41" s="553"/>
      <c r="M41" s="554"/>
      <c r="N41" s="553"/>
      <c r="O41" s="470"/>
      <c r="P41" s="465"/>
      <c r="Q41" s="469" t="s">
        <v>268</v>
      </c>
      <c r="R41" s="532" t="s">
        <v>269</v>
      </c>
      <c r="S41" s="560">
        <v>0.2</v>
      </c>
      <c r="T41" s="536"/>
      <c r="U41" s="537" t="e">
        <f>+U37</f>
        <v>#DIV/0!</v>
      </c>
      <c r="V41" s="536"/>
      <c r="W41" s="537" t="e">
        <f>+W37</f>
        <v>#DIV/0!</v>
      </c>
      <c r="X41" s="536"/>
      <c r="Y41" s="539">
        <f>(+Y18+Y19+Y20)*0.2</f>
        <v>0</v>
      </c>
      <c r="Z41" s="465"/>
    </row>
    <row r="42" spans="1:26" ht="15.75" thickBot="1" x14ac:dyDescent="0.3">
      <c r="A42" s="467"/>
      <c r="B42" s="469" t="s">
        <v>286</v>
      </c>
      <c r="C42" s="469"/>
      <c r="D42" s="469"/>
      <c r="E42" s="469"/>
      <c r="F42" s="469"/>
      <c r="G42" s="553" t="s">
        <v>287</v>
      </c>
      <c r="H42" s="553"/>
      <c r="I42" s="561">
        <f>+N37</f>
        <v>75</v>
      </c>
      <c r="J42" s="554"/>
      <c r="K42" s="553" t="s">
        <v>288</v>
      </c>
      <c r="L42" s="553"/>
      <c r="M42" s="554"/>
      <c r="N42" s="556">
        <f>+N39+N40</f>
        <v>2254.9587500000007</v>
      </c>
      <c r="O42" s="470"/>
      <c r="P42" s="465"/>
      <c r="Q42" s="469" t="s">
        <v>275</v>
      </c>
      <c r="R42" s="545" t="s">
        <v>276</v>
      </c>
      <c r="S42" s="562">
        <v>0.1</v>
      </c>
      <c r="T42" s="549"/>
      <c r="U42" s="548" t="e">
        <f>+U37</f>
        <v>#DIV/0!</v>
      </c>
      <c r="V42" s="549"/>
      <c r="W42" s="548" t="e">
        <f>+W37</f>
        <v>#DIV/0!</v>
      </c>
      <c r="X42" s="549"/>
      <c r="Y42" s="551">
        <f>+(Y18+Y19+Y20)*0.1</f>
        <v>0</v>
      </c>
      <c r="Z42" s="465"/>
    </row>
    <row r="43" spans="1:26" ht="15.75" thickBot="1" x14ac:dyDescent="0.3">
      <c r="A43" s="467"/>
      <c r="B43" s="469" t="s">
        <v>289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70"/>
      <c r="P43" s="465"/>
      <c r="Q43" s="465"/>
      <c r="R43" s="465"/>
      <c r="S43" s="465"/>
      <c r="T43" s="465"/>
      <c r="U43" s="465"/>
      <c r="V43" s="552" t="s">
        <v>290</v>
      </c>
      <c r="W43" s="465"/>
      <c r="X43" s="465"/>
      <c r="Y43" s="528">
        <f>IF(Y33=0,0,SUM(Y33:Y42))</f>
        <v>0</v>
      </c>
      <c r="Z43" s="465" t="s">
        <v>274</v>
      </c>
    </row>
    <row r="44" spans="1:26" ht="15.75" thickTop="1" x14ac:dyDescent="0.25">
      <c r="A44" s="467"/>
      <c r="B44" s="469"/>
      <c r="C44" s="469"/>
      <c r="D44" s="469"/>
      <c r="E44" s="469"/>
      <c r="F44" s="469"/>
      <c r="G44" s="465"/>
      <c r="H44" s="465"/>
      <c r="I44" s="465"/>
      <c r="J44" s="473"/>
      <c r="K44" s="469"/>
      <c r="L44" s="469"/>
      <c r="M44" s="469"/>
      <c r="N44" s="469"/>
      <c r="O44" s="470"/>
      <c r="P44" s="465"/>
      <c r="Q44" s="465"/>
      <c r="R44" s="465"/>
      <c r="S44" s="465"/>
      <c r="T44" s="465"/>
      <c r="U44" s="465"/>
      <c r="V44" s="465" t="s">
        <v>291</v>
      </c>
      <c r="W44" s="465" t="str">
        <f>C5</f>
        <v>Geisteswissenschaften</v>
      </c>
      <c r="X44" s="465"/>
      <c r="Y44" s="563">
        <f>VLOOKUP(W44,Q53:S55,2,FALSE)</f>
        <v>27.332833333333337</v>
      </c>
      <c r="Z44" s="465"/>
    </row>
    <row r="45" spans="1:26" x14ac:dyDescent="0.25">
      <c r="A45" s="467"/>
      <c r="B45" s="469"/>
      <c r="C45" s="469"/>
      <c r="D45" s="469"/>
      <c r="E45" s="469"/>
      <c r="F45" s="469"/>
      <c r="G45" s="465"/>
      <c r="H45" s="465"/>
      <c r="I45" s="465"/>
      <c r="J45" s="473"/>
      <c r="K45" s="469"/>
      <c r="L45" s="469"/>
      <c r="M45" s="469"/>
      <c r="N45" s="469"/>
      <c r="O45" s="470"/>
      <c r="P45" s="465"/>
      <c r="Q45" s="469"/>
      <c r="R45" s="465"/>
      <c r="S45" s="465"/>
      <c r="T45" s="465"/>
      <c r="U45" s="465"/>
      <c r="V45" s="552" t="s">
        <v>292</v>
      </c>
      <c r="W45" s="552"/>
      <c r="X45" s="552"/>
      <c r="Y45" s="564">
        <f>+Y43*Y44</f>
        <v>0</v>
      </c>
      <c r="Z45" s="465"/>
    </row>
    <row r="46" spans="1:26" x14ac:dyDescent="0.25">
      <c r="A46" s="467"/>
      <c r="B46" s="469"/>
      <c r="C46" s="469"/>
      <c r="D46" s="469"/>
      <c r="E46" s="469"/>
      <c r="F46" s="469"/>
      <c r="G46" s="465"/>
      <c r="H46" s="465"/>
      <c r="I46" s="465"/>
      <c r="J46" s="473"/>
      <c r="K46" s="469"/>
      <c r="L46" s="469"/>
      <c r="M46" s="469"/>
      <c r="N46" s="469"/>
      <c r="O46" s="470"/>
      <c r="P46" s="465"/>
      <c r="Q46" s="469"/>
      <c r="R46" s="465"/>
      <c r="S46" s="465"/>
      <c r="U46" s="465"/>
      <c r="V46" s="565" t="s">
        <v>293</v>
      </c>
      <c r="W46" s="465"/>
      <c r="X46" s="465"/>
      <c r="Y46" s="566">
        <f>+Y43/'Vorkalkulation_% GKZ'!T12</f>
        <v>0</v>
      </c>
      <c r="Z46" s="465" t="s">
        <v>274</v>
      </c>
    </row>
    <row r="47" spans="1:26" x14ac:dyDescent="0.25">
      <c r="A47" s="467"/>
      <c r="B47" s="469"/>
      <c r="C47" s="469"/>
      <c r="D47" s="469"/>
      <c r="E47" s="469"/>
      <c r="F47" s="469"/>
      <c r="G47" s="465"/>
      <c r="H47" s="465"/>
      <c r="I47" s="465"/>
      <c r="J47" s="473"/>
      <c r="K47" s="469"/>
      <c r="L47" s="469"/>
      <c r="M47" s="469"/>
      <c r="N47" s="469"/>
      <c r="O47" s="470"/>
      <c r="P47" s="465"/>
      <c r="Q47" s="469"/>
      <c r="R47" s="465"/>
      <c r="S47" s="465"/>
      <c r="T47" s="465"/>
      <c r="U47" s="465"/>
      <c r="V47" s="565" t="s">
        <v>294</v>
      </c>
      <c r="W47" s="567">
        <f>+'Vorkalkulation_% GKZ'!T12</f>
        <v>12</v>
      </c>
      <c r="X47" s="565" t="s">
        <v>295</v>
      </c>
      <c r="Y47" s="465"/>
      <c r="Z47" s="465"/>
    </row>
    <row r="48" spans="1:26" x14ac:dyDescent="0.25">
      <c r="A48" s="467"/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70"/>
      <c r="P48" s="465"/>
      <c r="Q48" s="469"/>
      <c r="R48" s="465"/>
      <c r="S48" s="465"/>
      <c r="T48" s="465"/>
      <c r="U48" s="465"/>
      <c r="V48" s="465"/>
      <c r="W48" s="465"/>
      <c r="X48" s="465"/>
      <c r="Y48" s="465"/>
      <c r="Z48" s="465"/>
    </row>
    <row r="49" spans="1:26" x14ac:dyDescent="0.25">
      <c r="A49" s="568"/>
      <c r="B49" s="569"/>
      <c r="C49" s="569"/>
      <c r="D49" s="569"/>
      <c r="E49" s="569"/>
      <c r="F49" s="569"/>
      <c r="G49" s="569"/>
      <c r="H49" s="569"/>
      <c r="I49" s="569"/>
      <c r="J49" s="569"/>
      <c r="K49" s="569"/>
      <c r="L49" s="569"/>
      <c r="M49" s="569"/>
      <c r="N49" s="569"/>
      <c r="O49" s="570"/>
      <c r="P49" s="465"/>
      <c r="Q49" s="469"/>
      <c r="R49" s="465"/>
      <c r="S49" s="465"/>
      <c r="T49" s="465"/>
      <c r="U49" s="465"/>
      <c r="V49" s="465"/>
      <c r="W49" s="465"/>
      <c r="X49" s="465"/>
      <c r="Y49" s="465"/>
      <c r="Z49" s="465"/>
    </row>
    <row r="52" spans="1:26" ht="15.75" outlineLevel="1" thickBot="1" x14ac:dyDescent="0.3"/>
    <row r="53" spans="1:26" outlineLevel="1" x14ac:dyDescent="0.25">
      <c r="Q53" s="435" t="s">
        <v>146</v>
      </c>
      <c r="R53" s="571">
        <f>+'Stundensaetze PersonalUni'!K22</f>
        <v>27.332833333333337</v>
      </c>
    </row>
    <row r="54" spans="1:26" outlineLevel="1" x14ac:dyDescent="0.25">
      <c r="Q54" s="437" t="s">
        <v>18</v>
      </c>
      <c r="R54" s="572">
        <f>+'Stundensaetze PersonalUni'!K23</f>
        <v>26.127166666666664</v>
      </c>
    </row>
    <row r="55" spans="1:26" ht="15.75" outlineLevel="1" thickBot="1" x14ac:dyDescent="0.3">
      <c r="Q55" s="439" t="s">
        <v>149</v>
      </c>
      <c r="R55" s="573">
        <f>+'Stundensaetze PersonalUni'!K24</f>
        <v>28.755000000000003</v>
      </c>
      <c r="V55" s="574"/>
    </row>
    <row r="56" spans="1:26" outlineLevel="1" x14ac:dyDescent="0.25"/>
  </sheetData>
  <sheetProtection selectLockedCells="1" selectUnlockedCells="1"/>
  <dataConsolidate/>
  <mergeCells count="27">
    <mergeCell ref="C11:D11"/>
    <mergeCell ref="C5:D5"/>
    <mergeCell ref="C7:D7"/>
    <mergeCell ref="C8:D8"/>
    <mergeCell ref="C9:D9"/>
    <mergeCell ref="C10:D10"/>
    <mergeCell ref="C12:D12"/>
    <mergeCell ref="F14:G14"/>
    <mergeCell ref="H14:I14"/>
    <mergeCell ref="J14:K14"/>
    <mergeCell ref="L14:L15"/>
    <mergeCell ref="N14:N15"/>
    <mergeCell ref="C15:D15"/>
    <mergeCell ref="C16:C18"/>
    <mergeCell ref="S16:S17"/>
    <mergeCell ref="T16:T17"/>
    <mergeCell ref="M14:M15"/>
    <mergeCell ref="V16:V17"/>
    <mergeCell ref="W16:W17"/>
    <mergeCell ref="X16:X17"/>
    <mergeCell ref="C21:C22"/>
    <mergeCell ref="T21:T22"/>
    <mergeCell ref="U21:U22"/>
    <mergeCell ref="V21:V22"/>
    <mergeCell ref="W21:W22"/>
    <mergeCell ref="X21:X22"/>
    <mergeCell ref="U16:U17"/>
  </mergeCells>
  <conditionalFormatting sqref="C12:D13">
    <cfRule type="expression" dxfId="0" priority="1">
      <formula>"&gt;&lt;100%"</formula>
    </cfRule>
  </conditionalFormatting>
  <dataValidations count="1">
    <dataValidation type="whole" errorStyle="information" operator="equal" allowBlank="1" showInputMessage="1" showErrorMessage="1" errorTitle="Wert muss 100% sein" error="Wert muss 100% sein" sqref="C12:D13">
      <formula1>100</formula1>
    </dataValidation>
  </dataValidations>
  <pageMargins left="0.70866141732283472" right="0.70866141732283472" top="0.78740157480314965" bottom="0.78740157480314965" header="0.31496062992125984" footer="0.31496062992125984"/>
  <pageSetup paperSize="9" scale="64" fitToWidth="2" orientation="landscape" r:id="rId1"/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2:J51"/>
  <sheetViews>
    <sheetView view="pageBreakPreview" topLeftCell="A13" zoomScale="90" zoomScaleNormal="100" zoomScaleSheetLayoutView="90" workbookViewId="0">
      <selection activeCell="G12" sqref="G12:I12"/>
    </sheetView>
  </sheetViews>
  <sheetFormatPr baseColWidth="10" defaultRowHeight="12.75" x14ac:dyDescent="0.2"/>
  <cols>
    <col min="1" max="1" width="19.7109375" style="578" customWidth="1"/>
    <col min="2" max="2" width="45.140625" style="578" customWidth="1"/>
    <col min="3" max="5" width="11.42578125" style="578"/>
    <col min="6" max="6" width="10.5703125" style="578" bestFit="1" customWidth="1"/>
    <col min="7" max="7" width="11.42578125" style="579"/>
    <col min="8" max="16384" width="11.42578125" style="578"/>
  </cols>
  <sheetData>
    <row r="2" spans="1:7" x14ac:dyDescent="0.2">
      <c r="A2" s="575" t="s">
        <v>296</v>
      </c>
      <c r="B2" s="576"/>
      <c r="C2" s="576"/>
      <c r="D2" s="577" t="s">
        <v>297</v>
      </c>
      <c r="E2" s="576"/>
      <c r="F2" s="576" t="s">
        <v>298</v>
      </c>
      <c r="G2" s="577" t="s">
        <v>299</v>
      </c>
    </row>
    <row r="3" spans="1:7" x14ac:dyDescent="0.2">
      <c r="D3" s="579" t="s">
        <v>300</v>
      </c>
    </row>
    <row r="4" spans="1:7" x14ac:dyDescent="0.2">
      <c r="A4" s="578" t="s">
        <v>301</v>
      </c>
      <c r="D4" s="578">
        <f>SUM(C5:C6)</f>
        <v>170</v>
      </c>
      <c r="F4" s="578">
        <v>5</v>
      </c>
      <c r="G4" s="580"/>
    </row>
    <row r="5" spans="1:7" x14ac:dyDescent="0.2">
      <c r="B5" s="578" t="s">
        <v>302</v>
      </c>
      <c r="C5" s="578">
        <v>58</v>
      </c>
      <c r="F5" s="578">
        <v>5</v>
      </c>
      <c r="G5" s="580">
        <f>C5/F5</f>
        <v>11.6</v>
      </c>
    </row>
    <row r="6" spans="1:7" x14ac:dyDescent="0.2">
      <c r="B6" s="578" t="s">
        <v>303</v>
      </c>
      <c r="C6" s="578">
        <v>112</v>
      </c>
      <c r="F6" s="578">
        <v>5</v>
      </c>
      <c r="G6" s="580">
        <f>C6/F6</f>
        <v>22.4</v>
      </c>
    </row>
    <row r="7" spans="1:7" x14ac:dyDescent="0.2">
      <c r="G7" s="580"/>
    </row>
    <row r="8" spans="1:7" x14ac:dyDescent="0.2">
      <c r="A8" s="578" t="s">
        <v>304</v>
      </c>
      <c r="D8" s="578">
        <f>SUM(C9:C12)-C11</f>
        <v>841</v>
      </c>
      <c r="G8" s="580"/>
    </row>
    <row r="9" spans="1:7" x14ac:dyDescent="0.2">
      <c r="B9" s="578" t="s">
        <v>305</v>
      </c>
      <c r="C9" s="578">
        <v>93</v>
      </c>
      <c r="F9" s="578">
        <v>13</v>
      </c>
      <c r="G9" s="580">
        <f>C9/F9</f>
        <v>7.1538461538461542</v>
      </c>
    </row>
    <row r="10" spans="1:7" x14ac:dyDescent="0.2">
      <c r="B10" s="578" t="s">
        <v>306</v>
      </c>
      <c r="C10" s="578">
        <v>730</v>
      </c>
      <c r="F10" s="578">
        <v>13</v>
      </c>
      <c r="G10" s="580">
        <f>C10/F10</f>
        <v>56.153846153846153</v>
      </c>
    </row>
    <row r="11" spans="1:7" s="581" customFormat="1" ht="12" x14ac:dyDescent="0.2">
      <c r="B11" s="581" t="s">
        <v>307</v>
      </c>
      <c r="C11" s="581">
        <v>26</v>
      </c>
      <c r="G11" s="582"/>
    </row>
    <row r="12" spans="1:7" x14ac:dyDescent="0.2">
      <c r="B12" s="578" t="s">
        <v>308</v>
      </c>
      <c r="C12" s="578">
        <v>18</v>
      </c>
      <c r="F12" s="578">
        <v>8</v>
      </c>
      <c r="G12" s="580">
        <f>C12/F12</f>
        <v>2.25</v>
      </c>
    </row>
    <row r="13" spans="1:7" x14ac:dyDescent="0.2">
      <c r="G13" s="580"/>
    </row>
    <row r="14" spans="1:7" ht="13.5" thickBot="1" x14ac:dyDescent="0.25">
      <c r="G14" s="583">
        <f>SUM(G4:G12)</f>
        <v>99.557692307692307</v>
      </c>
    </row>
    <row r="15" spans="1:7" ht="13.5" thickTop="1" x14ac:dyDescent="0.2">
      <c r="A15" s="584" t="s">
        <v>309</v>
      </c>
    </row>
    <row r="17" spans="1:10" x14ac:dyDescent="0.2">
      <c r="B17" s="578" t="s">
        <v>310</v>
      </c>
      <c r="C17" s="578">
        <v>28</v>
      </c>
      <c r="G17" s="580"/>
    </row>
    <row r="18" spans="1:10" x14ac:dyDescent="0.2">
      <c r="B18" s="578" t="s">
        <v>311</v>
      </c>
      <c r="C18" s="578">
        <v>49</v>
      </c>
      <c r="G18" s="580"/>
    </row>
    <row r="19" spans="1:10" x14ac:dyDescent="0.2">
      <c r="A19" s="578" t="s">
        <v>312</v>
      </c>
      <c r="D19" s="578">
        <f>+C18+C17</f>
        <v>77</v>
      </c>
      <c r="G19" s="580"/>
    </row>
    <row r="20" spans="1:10" x14ac:dyDescent="0.2">
      <c r="D20" s="584">
        <f>SUM(D4:D19)</f>
        <v>1088</v>
      </c>
      <c r="G20" s="578"/>
    </row>
    <row r="21" spans="1:10" x14ac:dyDescent="0.2">
      <c r="G21" s="580"/>
    </row>
    <row r="22" spans="1:10" x14ac:dyDescent="0.2">
      <c r="B22" s="585" t="s">
        <v>313</v>
      </c>
      <c r="C22" s="586"/>
      <c r="D22" s="586"/>
      <c r="E22" s="586"/>
      <c r="F22" s="586"/>
      <c r="G22" s="587">
        <f>+G14/12</f>
        <v>8.2964743589743595</v>
      </c>
    </row>
    <row r="23" spans="1:10" x14ac:dyDescent="0.2">
      <c r="G23" s="580"/>
    </row>
    <row r="24" spans="1:10" x14ac:dyDescent="0.2">
      <c r="A24" s="575" t="s">
        <v>314</v>
      </c>
      <c r="B24" s="576"/>
      <c r="C24" s="576" t="s">
        <v>315</v>
      </c>
      <c r="D24" s="576" t="s">
        <v>316</v>
      </c>
      <c r="E24" s="588" t="s">
        <v>317</v>
      </c>
      <c r="F24" s="576" t="s">
        <v>298</v>
      </c>
      <c r="G24" s="589"/>
    </row>
    <row r="25" spans="1:10" x14ac:dyDescent="0.2">
      <c r="G25" s="580"/>
    </row>
    <row r="26" spans="1:10" x14ac:dyDescent="0.2">
      <c r="B26" s="578" t="s">
        <v>318</v>
      </c>
      <c r="C26" s="578">
        <f>497-C27</f>
        <v>471</v>
      </c>
      <c r="D26" s="578">
        <f>557-D27</f>
        <v>531</v>
      </c>
      <c r="E26" s="578">
        <f t="shared" ref="E26:E31" si="0">AVERAGE(C26:D26)</f>
        <v>501</v>
      </c>
      <c r="F26" s="578">
        <v>8</v>
      </c>
      <c r="G26" s="580">
        <f>E26/F26</f>
        <v>62.625</v>
      </c>
    </row>
    <row r="27" spans="1:10" x14ac:dyDescent="0.2">
      <c r="A27" s="590"/>
      <c r="B27" s="590" t="s">
        <v>319</v>
      </c>
      <c r="C27" s="590">
        <v>26</v>
      </c>
      <c r="D27" s="590">
        <v>26</v>
      </c>
      <c r="E27" s="578">
        <f t="shared" si="0"/>
        <v>26</v>
      </c>
      <c r="F27" s="590"/>
      <c r="G27" s="591"/>
    </row>
    <row r="28" spans="1:10" s="590" customFormat="1" x14ac:dyDescent="0.2">
      <c r="A28" s="578"/>
      <c r="B28" s="578" t="s">
        <v>320</v>
      </c>
      <c r="C28" s="578">
        <v>48</v>
      </c>
      <c r="D28" s="578">
        <v>75</v>
      </c>
      <c r="E28" s="578">
        <f t="shared" si="0"/>
        <v>61.5</v>
      </c>
      <c r="F28" s="578">
        <v>8</v>
      </c>
      <c r="G28" s="580">
        <f>E28/F28</f>
        <v>7.6875</v>
      </c>
      <c r="J28" s="578"/>
    </row>
    <row r="29" spans="1:10" x14ac:dyDescent="0.2">
      <c r="B29" s="578" t="s">
        <v>321</v>
      </c>
      <c r="C29" s="578">
        <v>88</v>
      </c>
      <c r="D29" s="578">
        <v>111</v>
      </c>
      <c r="E29" s="578">
        <f t="shared" si="0"/>
        <v>99.5</v>
      </c>
      <c r="F29" s="578">
        <v>8</v>
      </c>
      <c r="G29" s="580">
        <f>E29/F29</f>
        <v>12.4375</v>
      </c>
    </row>
    <row r="30" spans="1:10" x14ac:dyDescent="0.2">
      <c r="B30" s="578" t="s">
        <v>322</v>
      </c>
      <c r="C30" s="578">
        <v>39</v>
      </c>
      <c r="D30" s="578">
        <v>4</v>
      </c>
      <c r="E30" s="578">
        <f t="shared" si="0"/>
        <v>21.5</v>
      </c>
      <c r="F30" s="578">
        <v>8</v>
      </c>
      <c r="G30" s="580">
        <f>E30/F30</f>
        <v>2.6875</v>
      </c>
    </row>
    <row r="31" spans="1:10" ht="13.5" thickBot="1" x14ac:dyDescent="0.25">
      <c r="C31" s="592">
        <f>SUM(C26:C30)</f>
        <v>672</v>
      </c>
      <c r="D31" s="592">
        <f>SUM(D26:D30)</f>
        <v>747</v>
      </c>
      <c r="E31" s="592">
        <f t="shared" si="0"/>
        <v>709.5</v>
      </c>
      <c r="F31" s="592"/>
      <c r="G31" s="583">
        <f>SUM(G26:G30)</f>
        <v>85.4375</v>
      </c>
    </row>
    <row r="32" spans="1:10" ht="13.5" thickTop="1" x14ac:dyDescent="0.2">
      <c r="B32" s="584" t="s">
        <v>323</v>
      </c>
      <c r="G32" s="580"/>
    </row>
    <row r="33" spans="1:7" x14ac:dyDescent="0.2">
      <c r="B33" s="578" t="s">
        <v>324</v>
      </c>
      <c r="C33" s="578">
        <v>3</v>
      </c>
      <c r="D33" s="578">
        <v>20</v>
      </c>
      <c r="E33" s="578">
        <f>AVERAGE(C33:D33)</f>
        <v>11.5</v>
      </c>
      <c r="F33" s="578">
        <v>8</v>
      </c>
      <c r="G33" s="580">
        <f>ROUND(C33/F33,0)</f>
        <v>0</v>
      </c>
    </row>
    <row r="34" spans="1:7" x14ac:dyDescent="0.2">
      <c r="B34" s="578" t="s">
        <v>325</v>
      </c>
      <c r="C34" s="578">
        <v>0</v>
      </c>
      <c r="D34" s="578">
        <v>3</v>
      </c>
      <c r="E34" s="578">
        <f>AVERAGE(C34:D34)</f>
        <v>1.5</v>
      </c>
      <c r="F34" s="578">
        <v>8</v>
      </c>
      <c r="G34" s="580">
        <f>ROUND(E34/F34,0)</f>
        <v>0</v>
      </c>
    </row>
    <row r="35" spans="1:7" x14ac:dyDescent="0.2">
      <c r="B35" s="578" t="s">
        <v>326</v>
      </c>
      <c r="C35" s="578">
        <v>11</v>
      </c>
      <c r="D35" s="578">
        <v>11</v>
      </c>
    </row>
    <row r="36" spans="1:7" x14ac:dyDescent="0.2">
      <c r="C36" s="578">
        <f>SUM(C31:C35)</f>
        <v>686</v>
      </c>
      <c r="D36" s="578">
        <f>SUM(D31:D35)</f>
        <v>781</v>
      </c>
    </row>
    <row r="37" spans="1:7" x14ac:dyDescent="0.2">
      <c r="B37" s="585" t="s">
        <v>313</v>
      </c>
      <c r="C37" s="586"/>
      <c r="D37" s="586"/>
      <c r="E37" s="586"/>
      <c r="F37" s="586"/>
      <c r="G37" s="593">
        <f>+G31/12</f>
        <v>7.119791666666667</v>
      </c>
    </row>
    <row r="39" spans="1:7" x14ac:dyDescent="0.2">
      <c r="A39" s="575" t="s">
        <v>327</v>
      </c>
      <c r="B39" s="576"/>
      <c r="C39" s="576"/>
      <c r="D39" s="576"/>
      <c r="E39" s="576"/>
      <c r="F39" s="576"/>
      <c r="G39" s="577"/>
    </row>
    <row r="41" spans="1:7" x14ac:dyDescent="0.2">
      <c r="B41" s="578" t="s">
        <v>328</v>
      </c>
      <c r="C41" s="578">
        <v>250</v>
      </c>
      <c r="F41" s="578">
        <v>8</v>
      </c>
      <c r="G41" s="580">
        <f>31.25</f>
        <v>31.25</v>
      </c>
    </row>
    <row r="42" spans="1:7" x14ac:dyDescent="0.2">
      <c r="B42" s="578" t="s">
        <v>329</v>
      </c>
      <c r="C42" s="578">
        <v>411</v>
      </c>
      <c r="F42" s="578">
        <v>8</v>
      </c>
      <c r="G42" s="580">
        <f>51.375</f>
        <v>51.375</v>
      </c>
    </row>
    <row r="43" spans="1:7" x14ac:dyDescent="0.2">
      <c r="B43" s="578" t="s">
        <v>330</v>
      </c>
      <c r="C43" s="578">
        <v>154</v>
      </c>
      <c r="F43" s="578">
        <v>8</v>
      </c>
      <c r="G43" s="580">
        <f>19.25</f>
        <v>19.25</v>
      </c>
    </row>
    <row r="44" spans="1:7" x14ac:dyDescent="0.2">
      <c r="B44" s="578" t="s">
        <v>331</v>
      </c>
      <c r="C44" s="578">
        <v>344</v>
      </c>
      <c r="F44" s="578">
        <v>8</v>
      </c>
      <c r="G44" s="580">
        <f>43</f>
        <v>43</v>
      </c>
    </row>
    <row r="45" spans="1:7" ht="13.5" thickBot="1" x14ac:dyDescent="0.25">
      <c r="B45" s="584" t="s">
        <v>332</v>
      </c>
      <c r="G45" s="594">
        <f>32.8882112533266</f>
        <v>32.888211253326602</v>
      </c>
    </row>
    <row r="46" spans="1:7" ht="13.5" thickTop="1" x14ac:dyDescent="0.2">
      <c r="G46" s="595"/>
    </row>
    <row r="47" spans="1:7" x14ac:dyDescent="0.2">
      <c r="B47" s="585" t="s">
        <v>313</v>
      </c>
      <c r="C47" s="586"/>
      <c r="D47" s="586"/>
      <c r="E47" s="586"/>
      <c r="F47" s="586"/>
      <c r="G47" s="593">
        <f>+G45/12</f>
        <v>2.7406842711105504</v>
      </c>
    </row>
    <row r="49" spans="1:2" x14ac:dyDescent="0.2">
      <c r="A49" s="575" t="s">
        <v>146</v>
      </c>
      <c r="B49" s="596">
        <f>+G47</f>
        <v>2.7406842711105504</v>
      </c>
    </row>
    <row r="50" spans="1:2" x14ac:dyDescent="0.2">
      <c r="A50" s="575" t="s">
        <v>18</v>
      </c>
      <c r="B50" s="596">
        <f>+G37</f>
        <v>7.119791666666667</v>
      </c>
    </row>
    <row r="51" spans="1:2" x14ac:dyDescent="0.2">
      <c r="A51" s="575" t="s">
        <v>149</v>
      </c>
      <c r="B51" s="596">
        <f>+G22</f>
        <v>8.2964743589743595</v>
      </c>
    </row>
  </sheetData>
  <sheetProtection selectLockedCells="1" selectUnlockedCells="1"/>
  <pageMargins left="0.7" right="0.7" top="0.78740157499999996" bottom="0.78740157499999996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G5"/>
  <sheetViews>
    <sheetView topLeftCell="D1" workbookViewId="0">
      <selection activeCell="G12" sqref="G12:I12"/>
    </sheetView>
  </sheetViews>
  <sheetFormatPr baseColWidth="10" defaultRowHeight="15" x14ac:dyDescent="0.25"/>
  <cols>
    <col min="1" max="1" width="23.7109375" style="466" bestFit="1" customWidth="1"/>
    <col min="2" max="2" width="30" style="466" bestFit="1" customWidth="1"/>
    <col min="3" max="3" width="34.140625" style="466" bestFit="1" customWidth="1"/>
    <col min="4" max="4" width="30" style="466" bestFit="1" customWidth="1"/>
    <col min="5" max="5" width="34.140625" style="466" bestFit="1" customWidth="1"/>
    <col min="6" max="6" width="11.42578125" style="466"/>
    <col min="7" max="7" width="20.85546875" style="466" customWidth="1"/>
    <col min="8" max="16384" width="11.42578125" style="466"/>
  </cols>
  <sheetData>
    <row r="1" spans="1:7" ht="15.75" thickBot="1" x14ac:dyDescent="0.3">
      <c r="B1" s="734" t="s">
        <v>333</v>
      </c>
      <c r="C1" s="734"/>
      <c r="D1" s="734" t="s">
        <v>334</v>
      </c>
      <c r="E1" s="734"/>
    </row>
    <row r="2" spans="1:7" ht="32.25" customHeight="1" thickBot="1" x14ac:dyDescent="0.3">
      <c r="A2" s="597" t="s">
        <v>335</v>
      </c>
      <c r="B2" s="597" t="s">
        <v>336</v>
      </c>
      <c r="C2" s="597" t="s">
        <v>337</v>
      </c>
      <c r="D2" s="597" t="s">
        <v>336</v>
      </c>
      <c r="E2" s="597" t="s">
        <v>337</v>
      </c>
      <c r="F2" s="598" t="s">
        <v>45</v>
      </c>
      <c r="G2" s="599"/>
    </row>
    <row r="3" spans="1:7" ht="32.25" customHeight="1" thickBot="1" x14ac:dyDescent="0.3">
      <c r="A3" s="600" t="s">
        <v>146</v>
      </c>
      <c r="B3" s="601">
        <v>267.98400000000004</v>
      </c>
      <c r="C3" s="601">
        <v>60.01</v>
      </c>
      <c r="D3" s="601">
        <f t="shared" ref="D3:E5" si="0">B3/12</f>
        <v>22.332000000000004</v>
      </c>
      <c r="E3" s="601">
        <f t="shared" si="0"/>
        <v>5.0008333333333335</v>
      </c>
      <c r="F3" s="574">
        <f>+D3+E3</f>
        <v>27.332833333333337</v>
      </c>
      <c r="G3" s="602">
        <f>+F3</f>
        <v>27.332833333333337</v>
      </c>
    </row>
    <row r="4" spans="1:7" ht="32.25" customHeight="1" thickBot="1" x14ac:dyDescent="0.3">
      <c r="A4" s="600" t="s">
        <v>18</v>
      </c>
      <c r="B4" s="601">
        <v>257.08599999999996</v>
      </c>
      <c r="C4" s="601">
        <v>56.44</v>
      </c>
      <c r="D4" s="601">
        <f t="shared" si="0"/>
        <v>21.423833333333331</v>
      </c>
      <c r="E4" s="601">
        <f t="shared" si="0"/>
        <v>4.7033333333333331</v>
      </c>
      <c r="F4" s="574">
        <f>+D4+E4</f>
        <v>26.127166666666664</v>
      </c>
      <c r="G4" s="602">
        <f>+F4</f>
        <v>26.127166666666664</v>
      </c>
    </row>
    <row r="5" spans="1:7" ht="32.25" customHeight="1" x14ac:dyDescent="0.25">
      <c r="A5" s="600" t="s">
        <v>149</v>
      </c>
      <c r="B5" s="601">
        <v>283.05</v>
      </c>
      <c r="C5" s="601">
        <v>62.01</v>
      </c>
      <c r="D5" s="601">
        <f t="shared" si="0"/>
        <v>23.587500000000002</v>
      </c>
      <c r="E5" s="601">
        <f t="shared" si="0"/>
        <v>5.1674999999999995</v>
      </c>
      <c r="F5" s="574">
        <f>+D5+E5</f>
        <v>28.755000000000003</v>
      </c>
      <c r="G5" s="602">
        <f>+F5</f>
        <v>28.755000000000003</v>
      </c>
    </row>
  </sheetData>
  <sheetProtection selectLockedCells="1" selectUnlockedCells="1"/>
  <mergeCells count="2">
    <mergeCell ref="B1:C1"/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FFC000"/>
  </sheetPr>
  <dimension ref="A2:M53"/>
  <sheetViews>
    <sheetView topLeftCell="A16" workbookViewId="0">
      <selection activeCell="G12" sqref="G12:I12"/>
    </sheetView>
  </sheetViews>
  <sheetFormatPr baseColWidth="10" defaultRowHeight="15" x14ac:dyDescent="0.25"/>
  <cols>
    <col min="1" max="2" width="11.42578125" style="603"/>
    <col min="3" max="3" width="49" style="603" customWidth="1"/>
    <col min="4" max="11" width="17.42578125" style="603" customWidth="1"/>
    <col min="12" max="16384" width="11.42578125" style="603"/>
  </cols>
  <sheetData>
    <row r="2" spans="1:13" x14ac:dyDescent="0.25">
      <c r="A2" s="603" t="s">
        <v>338</v>
      </c>
      <c r="D2" s="604" t="s">
        <v>221</v>
      </c>
    </row>
    <row r="3" spans="1:13" x14ac:dyDescent="0.25">
      <c r="A3" s="605">
        <v>0.05</v>
      </c>
      <c r="D3" s="738" t="s">
        <v>223</v>
      </c>
      <c r="E3" s="738"/>
      <c r="F3" s="738" t="s">
        <v>225</v>
      </c>
      <c r="G3" s="738"/>
      <c r="H3" s="738" t="s">
        <v>226</v>
      </c>
      <c r="I3" s="738"/>
      <c r="J3" s="738" t="s">
        <v>227</v>
      </c>
      <c r="K3" s="738"/>
      <c r="M3" s="603" t="s">
        <v>339</v>
      </c>
    </row>
    <row r="4" spans="1:13" x14ac:dyDescent="0.25">
      <c r="A4" s="605">
        <v>0.1</v>
      </c>
      <c r="C4" s="604" t="s">
        <v>340</v>
      </c>
      <c r="E4" s="603" t="s">
        <v>341</v>
      </c>
      <c r="G4" s="603" t="s">
        <v>341</v>
      </c>
      <c r="I4" s="603" t="s">
        <v>341</v>
      </c>
      <c r="K4" s="603" t="s">
        <v>341</v>
      </c>
    </row>
    <row r="5" spans="1:13" x14ac:dyDescent="0.25">
      <c r="A5" s="605">
        <v>0.15</v>
      </c>
      <c r="C5" s="603" t="s">
        <v>342</v>
      </c>
      <c r="D5" s="606">
        <v>0.25</v>
      </c>
      <c r="E5" s="603">
        <v>0</v>
      </c>
      <c r="F5" s="606">
        <v>0.25</v>
      </c>
      <c r="G5" s="603">
        <v>10</v>
      </c>
      <c r="H5" s="606">
        <v>0.25</v>
      </c>
      <c r="I5" s="603">
        <v>12</v>
      </c>
      <c r="J5" s="606">
        <v>0.25</v>
      </c>
      <c r="K5" s="603">
        <v>18</v>
      </c>
      <c r="M5" s="607">
        <f>(D5*E5+F5*G5+H5*I5+J5*K5)/1</f>
        <v>10</v>
      </c>
    </row>
    <row r="6" spans="1:13" x14ac:dyDescent="0.25">
      <c r="A6" s="605">
        <v>0.2</v>
      </c>
      <c r="C6" s="603" t="s">
        <v>343</v>
      </c>
      <c r="D6" s="606">
        <v>0.25</v>
      </c>
      <c r="E6" s="603">
        <v>0</v>
      </c>
      <c r="F6" s="606">
        <v>0.25</v>
      </c>
      <c r="G6" s="603">
        <v>5</v>
      </c>
      <c r="H6" s="606">
        <v>0.25</v>
      </c>
      <c r="I6" s="603">
        <v>6</v>
      </c>
      <c r="J6" s="606">
        <v>0.25</v>
      </c>
      <c r="K6" s="603">
        <v>9</v>
      </c>
      <c r="M6" s="607">
        <f>(D6*E6+F6*G6+H6*I6+J6*K6)/1</f>
        <v>5</v>
      </c>
    </row>
    <row r="7" spans="1:13" x14ac:dyDescent="0.25">
      <c r="A7" s="605">
        <v>0.25</v>
      </c>
      <c r="C7" s="603" t="s">
        <v>344</v>
      </c>
      <c r="D7" s="606">
        <v>0.25</v>
      </c>
      <c r="E7" s="603">
        <v>0</v>
      </c>
      <c r="F7" s="606">
        <v>0.25</v>
      </c>
      <c r="G7" s="603">
        <v>5</v>
      </c>
      <c r="H7" s="606">
        <v>0.25</v>
      </c>
      <c r="I7" s="603">
        <v>6</v>
      </c>
      <c r="J7" s="606">
        <v>0.25</v>
      </c>
      <c r="K7" s="603">
        <v>9</v>
      </c>
      <c r="M7" s="607">
        <f>(D7*E7+F7*G7+H7*I7+J7*K7)/1</f>
        <v>5</v>
      </c>
    </row>
    <row r="8" spans="1:13" x14ac:dyDescent="0.25">
      <c r="A8" s="605">
        <v>0.3</v>
      </c>
      <c r="C8" s="603" t="s">
        <v>345</v>
      </c>
      <c r="D8" s="606">
        <v>0.25</v>
      </c>
      <c r="E8" s="603">
        <v>0</v>
      </c>
      <c r="F8" s="606">
        <v>0.25</v>
      </c>
      <c r="G8" s="603">
        <v>10</v>
      </c>
      <c r="H8" s="606">
        <v>0.25</v>
      </c>
      <c r="I8" s="603">
        <v>12</v>
      </c>
      <c r="J8" s="606">
        <v>0.25</v>
      </c>
      <c r="K8" s="603">
        <v>18</v>
      </c>
      <c r="M8" s="607">
        <f>(D8*E8+F8*G8+H8*I8+J8*K8)/1</f>
        <v>10</v>
      </c>
    </row>
    <row r="9" spans="1:13" x14ac:dyDescent="0.25">
      <c r="A9" s="605">
        <v>0.4</v>
      </c>
      <c r="C9" s="603" t="s">
        <v>346</v>
      </c>
      <c r="D9" s="606">
        <v>0.25</v>
      </c>
      <c r="E9" s="603">
        <v>0</v>
      </c>
      <c r="F9" s="606">
        <v>0.25</v>
      </c>
      <c r="G9" s="603">
        <v>10</v>
      </c>
      <c r="H9" s="606">
        <v>0.25</v>
      </c>
      <c r="I9" s="603">
        <v>12</v>
      </c>
      <c r="J9" s="606">
        <v>0.25</v>
      </c>
      <c r="K9" s="603">
        <v>18</v>
      </c>
      <c r="M9" s="607">
        <f>(D9*E9+F9*G9+H9*I9+J9*K9)/1</f>
        <v>10</v>
      </c>
    </row>
    <row r="10" spans="1:13" x14ac:dyDescent="0.25">
      <c r="A10" s="605">
        <v>0.45</v>
      </c>
      <c r="C10" s="608" t="s">
        <v>253</v>
      </c>
      <c r="D10" s="609" t="s">
        <v>347</v>
      </c>
      <c r="E10" s="603">
        <v>0</v>
      </c>
      <c r="F10" s="609">
        <v>0</v>
      </c>
      <c r="G10" s="603">
        <v>10</v>
      </c>
      <c r="H10" s="609">
        <v>0</v>
      </c>
      <c r="I10" s="603">
        <v>12</v>
      </c>
      <c r="J10" s="609">
        <v>1</v>
      </c>
      <c r="K10" s="603">
        <v>18</v>
      </c>
      <c r="M10" s="607">
        <f>(D10*E10)+(F10*G10)+(H10*I10)+(J10*K10)</f>
        <v>18</v>
      </c>
    </row>
    <row r="11" spans="1:13" x14ac:dyDescent="0.25">
      <c r="A11" s="605">
        <v>0.5</v>
      </c>
      <c r="C11" s="603" t="s">
        <v>348</v>
      </c>
      <c r="D11" s="603">
        <v>1.7</v>
      </c>
      <c r="F11" s="603">
        <v>1.7</v>
      </c>
      <c r="H11" s="603">
        <v>1.7</v>
      </c>
      <c r="J11" s="603">
        <v>1.7</v>
      </c>
    </row>
    <row r="12" spans="1:13" x14ac:dyDescent="0.25">
      <c r="A12" s="605">
        <v>0.6</v>
      </c>
    </row>
    <row r="13" spans="1:13" x14ac:dyDescent="0.25">
      <c r="A13" s="605">
        <v>0.65</v>
      </c>
    </row>
    <row r="14" spans="1:13" x14ac:dyDescent="0.25">
      <c r="A14" s="605">
        <v>0.7</v>
      </c>
      <c r="D14" s="604"/>
    </row>
    <row r="15" spans="1:13" x14ac:dyDescent="0.25">
      <c r="A15" s="605">
        <v>0.75</v>
      </c>
      <c r="D15" s="738"/>
      <c r="E15" s="738"/>
      <c r="F15" s="738"/>
      <c r="G15" s="738"/>
      <c r="H15" s="738"/>
      <c r="I15" s="738"/>
      <c r="J15" s="738"/>
      <c r="K15" s="738"/>
    </row>
    <row r="16" spans="1:13" x14ac:dyDescent="0.25">
      <c r="A16" s="605">
        <v>0.8</v>
      </c>
      <c r="C16" s="604"/>
    </row>
    <row r="17" spans="1:13" x14ac:dyDescent="0.25">
      <c r="A17" s="605">
        <v>0.85</v>
      </c>
      <c r="D17" s="606"/>
      <c r="F17" s="606"/>
      <c r="H17" s="606"/>
      <c r="J17" s="606"/>
      <c r="M17" s="607"/>
    </row>
    <row r="18" spans="1:13" x14ac:dyDescent="0.25">
      <c r="A18" s="605">
        <v>0.9</v>
      </c>
      <c r="D18" s="606"/>
      <c r="F18" s="606"/>
      <c r="H18" s="606"/>
      <c r="J18" s="606"/>
      <c r="M18" s="607"/>
    </row>
    <row r="19" spans="1:13" x14ac:dyDescent="0.25">
      <c r="A19" s="605">
        <v>0.95</v>
      </c>
      <c r="D19" s="606"/>
      <c r="F19" s="606"/>
      <c r="H19" s="606"/>
      <c r="J19" s="606"/>
      <c r="M19" s="607"/>
    </row>
    <row r="20" spans="1:13" x14ac:dyDescent="0.25">
      <c r="A20" s="605">
        <v>1</v>
      </c>
      <c r="D20" s="606"/>
      <c r="F20" s="606"/>
      <c r="H20" s="606"/>
      <c r="J20" s="606"/>
      <c r="M20" s="607"/>
    </row>
    <row r="21" spans="1:13" x14ac:dyDescent="0.25">
      <c r="D21" s="606"/>
      <c r="F21" s="606"/>
      <c r="H21" s="606"/>
      <c r="J21" s="606"/>
      <c r="M21" s="607"/>
    </row>
    <row r="22" spans="1:13" x14ac:dyDescent="0.25">
      <c r="C22" s="608"/>
      <c r="D22" s="606"/>
      <c r="F22" s="606"/>
      <c r="H22" s="606"/>
      <c r="J22" s="606"/>
      <c r="M22" s="607"/>
    </row>
    <row r="25" spans="1:13" x14ac:dyDescent="0.25">
      <c r="C25" s="610" t="s">
        <v>349</v>
      </c>
      <c r="D25" s="735" t="s">
        <v>350</v>
      </c>
      <c r="E25" s="736"/>
      <c r="F25" s="737"/>
      <c r="G25" s="735" t="s">
        <v>351</v>
      </c>
      <c r="H25" s="736"/>
      <c r="I25" s="737"/>
    </row>
    <row r="26" spans="1:13" x14ac:dyDescent="0.25">
      <c r="C26" s="611"/>
      <c r="D26" s="606" t="s">
        <v>352</v>
      </c>
      <c r="E26" s="606" t="s">
        <v>353</v>
      </c>
      <c r="F26" s="606" t="s">
        <v>354</v>
      </c>
      <c r="G26" s="606" t="s">
        <v>355</v>
      </c>
      <c r="H26" s="606" t="s">
        <v>356</v>
      </c>
      <c r="I26" s="606" t="s">
        <v>357</v>
      </c>
      <c r="J26" s="612" t="s">
        <v>358</v>
      </c>
      <c r="K26" s="606" t="s">
        <v>359</v>
      </c>
    </row>
    <row r="27" spans="1:13" x14ac:dyDescent="0.25">
      <c r="C27" s="610" t="s">
        <v>360</v>
      </c>
      <c r="D27" s="613"/>
      <c r="E27" s="614"/>
      <c r="F27" s="615"/>
      <c r="G27" s="613"/>
      <c r="H27" s="614"/>
      <c r="I27" s="615"/>
      <c r="J27" s="616">
        <v>150</v>
      </c>
      <c r="K27" s="610">
        <v>375</v>
      </c>
    </row>
    <row r="28" spans="1:13" x14ac:dyDescent="0.25">
      <c r="C28" s="617" t="s">
        <v>361</v>
      </c>
      <c r="D28" s="613"/>
      <c r="E28" s="614"/>
      <c r="F28" s="615"/>
      <c r="G28" s="613"/>
      <c r="H28" s="614"/>
      <c r="I28" s="615"/>
      <c r="J28" s="613">
        <v>25</v>
      </c>
      <c r="K28" s="617">
        <v>50</v>
      </c>
    </row>
    <row r="29" spans="1:13" x14ac:dyDescent="0.25">
      <c r="C29" s="617" t="s">
        <v>362</v>
      </c>
      <c r="D29" s="613">
        <v>15</v>
      </c>
      <c r="E29" s="614">
        <v>25</v>
      </c>
      <c r="F29" s="615">
        <v>50</v>
      </c>
      <c r="G29" s="613">
        <v>40</v>
      </c>
      <c r="H29" s="618">
        <v>60</v>
      </c>
      <c r="I29" s="615">
        <v>100</v>
      </c>
      <c r="J29" s="613"/>
      <c r="K29" s="617"/>
    </row>
    <row r="30" spans="1:13" x14ac:dyDescent="0.25">
      <c r="C30" s="617" t="s">
        <v>363</v>
      </c>
      <c r="D30" s="613">
        <v>40</v>
      </c>
      <c r="E30" s="614">
        <v>80</v>
      </c>
      <c r="F30" s="615">
        <v>120</v>
      </c>
      <c r="G30" s="613">
        <v>80</v>
      </c>
      <c r="H30" s="618">
        <v>140</v>
      </c>
      <c r="I30" s="615">
        <v>200</v>
      </c>
      <c r="J30" s="613"/>
      <c r="K30" s="617"/>
    </row>
    <row r="31" spans="1:13" x14ac:dyDescent="0.25">
      <c r="C31" s="611" t="s">
        <v>364</v>
      </c>
      <c r="D31" s="619">
        <v>15</v>
      </c>
      <c r="E31" s="620">
        <v>25</v>
      </c>
      <c r="F31" s="621">
        <v>40</v>
      </c>
      <c r="G31" s="619">
        <v>55</v>
      </c>
      <c r="H31" s="620">
        <v>65</v>
      </c>
      <c r="I31" s="621">
        <v>80</v>
      </c>
      <c r="J31" s="619"/>
      <c r="K31" s="611"/>
    </row>
    <row r="34" spans="3:4" x14ac:dyDescent="0.25">
      <c r="C34" s="622" t="s">
        <v>365</v>
      </c>
      <c r="D34" s="623"/>
    </row>
    <row r="35" spans="3:4" x14ac:dyDescent="0.25">
      <c r="C35" s="616" t="s">
        <v>366</v>
      </c>
      <c r="D35" s="624">
        <v>5</v>
      </c>
    </row>
    <row r="36" spans="3:4" x14ac:dyDescent="0.25">
      <c r="C36" s="613" t="s">
        <v>367</v>
      </c>
      <c r="D36" s="625">
        <v>10</v>
      </c>
    </row>
    <row r="37" spans="3:4" x14ac:dyDescent="0.25">
      <c r="C37" s="626" t="s">
        <v>368</v>
      </c>
      <c r="D37" s="625">
        <v>15</v>
      </c>
    </row>
    <row r="38" spans="3:4" x14ac:dyDescent="0.25">
      <c r="C38" s="626" t="s">
        <v>369</v>
      </c>
      <c r="D38" s="625">
        <v>20</v>
      </c>
    </row>
    <row r="39" spans="3:4" x14ac:dyDescent="0.25">
      <c r="C39" s="626" t="s">
        <v>370</v>
      </c>
      <c r="D39" s="625">
        <v>40</v>
      </c>
    </row>
    <row r="40" spans="3:4" x14ac:dyDescent="0.25">
      <c r="C40" s="626" t="s">
        <v>371</v>
      </c>
      <c r="D40" s="625">
        <v>80</v>
      </c>
    </row>
    <row r="41" spans="3:4" x14ac:dyDescent="0.25">
      <c r="C41" s="613" t="s">
        <v>372</v>
      </c>
      <c r="D41" s="625">
        <v>150</v>
      </c>
    </row>
    <row r="42" spans="3:4" x14ac:dyDescent="0.25">
      <c r="C42" s="613" t="s">
        <v>373</v>
      </c>
      <c r="D42" s="625">
        <v>375</v>
      </c>
    </row>
    <row r="43" spans="3:4" x14ac:dyDescent="0.25">
      <c r="C43" s="613" t="s">
        <v>374</v>
      </c>
      <c r="D43" s="625">
        <v>25</v>
      </c>
    </row>
    <row r="44" spans="3:4" x14ac:dyDescent="0.25">
      <c r="C44" s="613" t="s">
        <v>375</v>
      </c>
      <c r="D44" s="625">
        <v>15</v>
      </c>
    </row>
    <row r="45" spans="3:4" x14ac:dyDescent="0.25">
      <c r="C45" s="613" t="s">
        <v>376</v>
      </c>
      <c r="D45" s="625">
        <v>25</v>
      </c>
    </row>
    <row r="46" spans="3:4" x14ac:dyDescent="0.25">
      <c r="C46" s="613" t="s">
        <v>377</v>
      </c>
      <c r="D46" s="625">
        <v>50</v>
      </c>
    </row>
    <row r="47" spans="3:4" x14ac:dyDescent="0.25">
      <c r="C47" s="613" t="s">
        <v>378</v>
      </c>
      <c r="D47" s="625">
        <v>40</v>
      </c>
    </row>
    <row r="48" spans="3:4" x14ac:dyDescent="0.25">
      <c r="C48" s="613" t="s">
        <v>379</v>
      </c>
      <c r="D48" s="625">
        <v>80</v>
      </c>
    </row>
    <row r="49" spans="3:4" x14ac:dyDescent="0.25">
      <c r="C49" s="613" t="s">
        <v>380</v>
      </c>
      <c r="D49" s="625">
        <v>120</v>
      </c>
    </row>
    <row r="50" spans="3:4" x14ac:dyDescent="0.25">
      <c r="C50" s="613" t="s">
        <v>381</v>
      </c>
      <c r="D50" s="625">
        <v>15</v>
      </c>
    </row>
    <row r="51" spans="3:4" x14ac:dyDescent="0.25">
      <c r="C51" s="613" t="s">
        <v>382</v>
      </c>
      <c r="D51" s="625">
        <v>25</v>
      </c>
    </row>
    <row r="52" spans="3:4" x14ac:dyDescent="0.25">
      <c r="C52" s="613" t="s">
        <v>383</v>
      </c>
      <c r="D52" s="625">
        <v>40</v>
      </c>
    </row>
    <row r="53" spans="3:4" x14ac:dyDescent="0.25">
      <c r="C53" s="619"/>
      <c r="D53" s="627">
        <v>0</v>
      </c>
    </row>
  </sheetData>
  <sheetProtection selectLockedCells="1" selectUnlockedCells="1"/>
  <mergeCells count="10">
    <mergeCell ref="J3:K3"/>
    <mergeCell ref="D15:E15"/>
    <mergeCell ref="F15:G15"/>
    <mergeCell ref="H15:I15"/>
    <mergeCell ref="J15:K15"/>
    <mergeCell ref="D25:F25"/>
    <mergeCell ref="G25:I25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18</vt:i4>
      </vt:variant>
    </vt:vector>
  </HeadingPairs>
  <TitlesOfParts>
    <vt:vector size="26" baseType="lpstr">
      <vt:lpstr>Vorkalkulation_% GKZ</vt:lpstr>
      <vt:lpstr>Großgeräte (DFG)</vt:lpstr>
      <vt:lpstr>Investitionen</vt:lpstr>
      <vt:lpstr>Stundensaetze PersonalUni</vt:lpstr>
      <vt:lpstr>Flächenberechnung VK</vt:lpstr>
      <vt:lpstr>HIS-Ersteinrichtkost</vt:lpstr>
      <vt:lpstr>Mieten nach Campusber.</vt:lpstr>
      <vt:lpstr>Hilfstabelle</vt:lpstr>
      <vt:lpstr>Cluster</vt:lpstr>
      <vt:lpstr>'Großgeräte (DFG)'!Druckbereich</vt:lpstr>
      <vt:lpstr>'HIS-Ersteinrichtkost'!Druckbereich</vt:lpstr>
      <vt:lpstr>Investitionen!Druckbereich</vt:lpstr>
      <vt:lpstr>'Vorkalkulation_% GKZ'!Druckbereich</vt:lpstr>
      <vt:lpstr>Entgeltgruppe</vt:lpstr>
      <vt:lpstr>EntgeltgruppeAlle</vt:lpstr>
      <vt:lpstr>EntgeltgruppeHiWi</vt:lpstr>
      <vt:lpstr>Gewinnzuschlag</vt:lpstr>
      <vt:lpstr>Jahr</vt:lpstr>
      <vt:lpstr>Monat</vt:lpstr>
      <vt:lpstr>Stellenanteil</vt:lpstr>
      <vt:lpstr>Tag</vt:lpstr>
      <vt:lpstr>Test</vt:lpstr>
      <vt:lpstr>Umsatzsteuer</vt:lpstr>
      <vt:lpstr>Vergütung</vt:lpstr>
      <vt:lpstr>Zuschlag</vt:lpstr>
      <vt:lpstr>Zuschlagssatz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</dc:creator>
  <cp:lastModifiedBy>Thor</cp:lastModifiedBy>
  <dcterms:created xsi:type="dcterms:W3CDTF">2023-02-02T14:40:18Z</dcterms:created>
  <dcterms:modified xsi:type="dcterms:W3CDTF">2023-05-11T06:19:57Z</dcterms:modified>
</cp:coreProperties>
</file>